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9"/>
  </bookViews>
  <sheets>
    <sheet name="1" sheetId="1" r:id="rId1"/>
    <sheet name="1a" sheetId="2" r:id="rId2"/>
    <sheet name="2" sheetId="3" r:id="rId3"/>
    <sheet name="2a" sheetId="4" r:id="rId4"/>
    <sheet name="3" sheetId="5" r:id="rId5"/>
    <sheet name="3a" sheetId="6" r:id="rId6"/>
    <sheet name="4" sheetId="7" r:id="rId7"/>
    <sheet name="5" sheetId="8" r:id="rId8"/>
    <sheet name="6" sheetId="9" r:id="rId9"/>
    <sheet name="6a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UG</author>
  </authors>
  <commentList>
    <comment ref="E65" authorId="0">
      <text>
        <r>
          <rPr>
            <sz val="10"/>
            <rFont val="Arial CE"/>
            <family val="2"/>
          </rPr>
          <t>666.226
po zm
657.698</t>
        </r>
      </text>
    </comment>
  </commentList>
</comments>
</file>

<file path=xl/comments3.xml><?xml version="1.0" encoding="utf-8"?>
<comments xmlns="http://schemas.openxmlformats.org/spreadsheetml/2006/main">
  <authors>
    <author>UG</author>
  </authors>
  <commentList>
    <comment ref="F218" authorId="0">
      <text>
        <r>
          <rPr>
            <sz val="10"/>
            <rFont val="Arial CE"/>
            <family val="2"/>
          </rPr>
          <t>W tym 10.000 prace soł użyt</t>
        </r>
      </text>
    </comment>
  </commentList>
</comments>
</file>

<file path=xl/sharedStrings.xml><?xml version="1.0" encoding="utf-8"?>
<sst xmlns="http://schemas.openxmlformats.org/spreadsheetml/2006/main" count="921" uniqueCount="438">
  <si>
    <t>Załącznik Nr 1 do uchwały  nr VI/28/ 2007</t>
  </si>
  <si>
    <t>Rady Gminy Kruklanki</t>
  </si>
  <si>
    <t>z dnia 29 maja  2007</t>
  </si>
  <si>
    <r>
      <t xml:space="preserve"> </t>
    </r>
    <r>
      <rPr>
        <b/>
        <sz val="14"/>
        <rFont val="Times New Roman"/>
        <family val="1"/>
      </rPr>
      <t>Plan  DOCHODÓW</t>
    </r>
    <r>
      <rPr>
        <sz val="14"/>
        <rFont val="Times New Roman"/>
        <family val="1"/>
      </rPr>
      <t xml:space="preserve"> budżetu Gminy Kruklanki na 2007</t>
    </r>
  </si>
  <si>
    <t>Klasyfikacja</t>
  </si>
  <si>
    <t xml:space="preserve">Wyszczególnienie </t>
  </si>
  <si>
    <t>Plan na 2007</t>
  </si>
  <si>
    <t>Zwiększenie</t>
  </si>
  <si>
    <t>Zmniejszenie</t>
  </si>
  <si>
    <t>Plan po zmianach</t>
  </si>
  <si>
    <t>Dział</t>
  </si>
  <si>
    <t>Rozdział</t>
  </si>
  <si>
    <t>§</t>
  </si>
  <si>
    <t>010</t>
  </si>
  <si>
    <t>ROLNICTWO I ŁOWIECTWO</t>
  </si>
  <si>
    <t>01095</t>
  </si>
  <si>
    <t>Pozostała działalność</t>
  </si>
  <si>
    <t>2010</t>
  </si>
  <si>
    <t>Dotacje celowe otrzymane z budżetu państwa na realizację zadań bieżących z zakresu admin. rządowej oraz innych ustaw zleconych gminie ustawami</t>
  </si>
  <si>
    <t>01036</t>
  </si>
  <si>
    <t>Restrukturyzacja i modernizacja sektora żywnościowego oraz rozwój obszarów wiejskich</t>
  </si>
  <si>
    <t>Środki na dofinansowanie własnych inwestycji gmin, powiatów, samorządów województw, pozyskane z innych źródeł</t>
  </si>
  <si>
    <t>020</t>
  </si>
  <si>
    <t>LEŚNICTWO</t>
  </si>
  <si>
    <t>02001</t>
  </si>
  <si>
    <t>Gospodarka leśna</t>
  </si>
  <si>
    <t>0750</t>
  </si>
  <si>
    <t>Dochody z najmu i dzierżawy składników majątkowych Skarbu Państwa lub j.s.t. oraz innych umów o podobnym charakterze</t>
  </si>
  <si>
    <t>700</t>
  </si>
  <si>
    <t>GOSPODARKA MIESZKANIOWA</t>
  </si>
  <si>
    <t>70005</t>
  </si>
  <si>
    <t>Gospodarka gruntami i nieruchomościami</t>
  </si>
  <si>
    <t>0470</t>
  </si>
  <si>
    <t>Wieczyste użytkowanie gruntów</t>
  </si>
  <si>
    <t>Dochody z najmu i dzierżawy składników majątkowych ... oraz innych umów o podobnym charakterze</t>
  </si>
  <si>
    <t>0870</t>
  </si>
  <si>
    <t>Wpływy ze sprzedaży składników majątkowych</t>
  </si>
  <si>
    <t>710</t>
  </si>
  <si>
    <t>DZIAŁALNOŚĆ USŁUGOWA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</si>
  <si>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</si>
  <si>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</si>
  <si>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</si>
  <si>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</si>
  <si>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750</t>
  </si>
  <si>
    <t>ADMINISTRACJA 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</si>
  <si>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</si>
  <si>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</si>
  <si>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</si>
  <si>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</si>
  <si>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</si>
  <si>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</si>
  <si>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BEZPIECZEŃSTWO  PUBLICZNE  I  OCHRONA  PRZECIWPOŻAROWA</t>
  </si>
  <si>
    <t>Ochotnicze straże pożarne</t>
  </si>
  <si>
    <t>Dotacje celowe otrzymane na inwestycje i zakupy inwestycyjne realizowane na podstawie porozumień (umów) między jednostkami samorządu terytorialnego</t>
  </si>
  <si>
    <t>Obrona cywilna</t>
  </si>
  <si>
    <t>756</t>
  </si>
  <si>
    <t>DOCHODY OD OSÓB PRAWNYCH 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</si>
  <si>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</si>
  <si>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</si>
  <si>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</si>
  <si>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75615</t>
  </si>
  <si>
    <t>Wpływy z podatku rolnego, podatku leśnego, podatku do spadków i darowizn,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</si>
  <si>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</si>
  <si>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</si>
  <si>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</si>
  <si>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</si>
  <si>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</si>
  <si>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</si>
  <si>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</si>
  <si>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</si>
  <si>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0440</t>
  </si>
  <si>
    <t>Wpływy z opłaty miejscowej</t>
  </si>
  <si>
    <t>0500</t>
  </si>
  <si>
    <t>Podatek od czynności cywilno prawnych</t>
  </si>
  <si>
    <t>0690</t>
  </si>
  <si>
    <t>Wpływy z różnych opłat</t>
  </si>
  <si>
    <t>0910</t>
  </si>
  <si>
    <t>Odsetki od nieterminowych wpłat z tytułu podatków i opłat</t>
  </si>
  <si>
    <t>75616</t>
  </si>
  <si>
    <t>Wpływy z podatku rolnego, podatku leśnego, podatku do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</si>
  <si>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</si>
  <si>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</si>
  <si>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</si>
  <si>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psa</t>
  </si>
  <si>
    <t>0430</t>
  </si>
  <si>
    <t>Wpływy z opłaty targowej</t>
  </si>
  <si>
    <t>0450</t>
  </si>
  <si>
    <t>Wpływy z opłaty administracyjnej za czynności urzędowe</t>
  </si>
  <si>
    <t>75618</t>
  </si>
  <si>
    <t>Wpływy z opłaty skarbowej</t>
  </si>
  <si>
    <t>0410</t>
  </si>
  <si>
    <t>75621</t>
  </si>
  <si>
    <t>Udział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</si>
  <si>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</si>
  <si>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</si>
  <si>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</si>
  <si>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</si>
  <si>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</si>
  <si>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</si>
  <si>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</si>
  <si>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j.s.t.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</si>
  <si>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</si>
  <si>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</si>
  <si>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</si>
  <si>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</si>
  <si>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</si>
  <si>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</si>
  <si>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0970</t>
  </si>
  <si>
    <t>Wpływy z różnych dochodów</t>
  </si>
  <si>
    <t>75831</t>
  </si>
  <si>
    <t>Część równoważąca subwencji ogólnej dla gmin</t>
  </si>
  <si>
    <t>OŚWIATA I WYCHOWANIE</t>
  </si>
  <si>
    <t>Szkoły podstawowe</t>
  </si>
  <si>
    <t>2030</t>
  </si>
  <si>
    <t>Dotacje celowe otrzymane z budżetu państwa na realizację własnych zadań bieżących gmin.</t>
  </si>
  <si>
    <t>851</t>
  </si>
  <si>
    <t>OCHRONA ZDROWIA</t>
  </si>
  <si>
    <t>85154</t>
  </si>
  <si>
    <t>Przeciwdziałanie alkoholizmowi</t>
  </si>
  <si>
    <t>0480</t>
  </si>
  <si>
    <t>Wpływy z opłat za zezwolenie na sprzedaż alkoholu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</si>
  <si>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</si>
  <si>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</si>
  <si>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</si>
  <si>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</si>
  <si>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</si>
  <si>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ubezpieczenia zdrowotne opłacane za osoby pobierające niektóre świadczenia z pomocy społecznej oraz niektóre świadczenia rodzinne</t>
  </si>
  <si>
    <t>85214</t>
  </si>
  <si>
    <t>Zasiłki i pomoc w naturze oraz składki na ubezpieczenia społeczne i zdrowotne</t>
  </si>
  <si>
    <t>85219</t>
  </si>
  <si>
    <t>Ośrodki pomocy społecznej</t>
  </si>
  <si>
    <t>85278</t>
  </si>
  <si>
    <t>Usuwanie skutków klęsk żywiołowych</t>
  </si>
  <si>
    <t>EDUKACYJNA OPIEKA WYCHOWAWCZA</t>
  </si>
  <si>
    <t>Pomoc materialna dla uczniów</t>
  </si>
  <si>
    <t>900</t>
  </si>
  <si>
    <t>GOSPODARKA KOMUNALNA I OCHRONA ŚRODOWISKA</t>
  </si>
  <si>
    <t>90001</t>
  </si>
  <si>
    <t>Gospodarka ściekowa i ochrona wód</t>
  </si>
  <si>
    <t>0830</t>
  </si>
  <si>
    <t>Wpływy z usług</t>
  </si>
  <si>
    <t>DOCHODY OGÓŁEM</t>
  </si>
  <si>
    <t>Załącznik Nr 1a do uchwały  nr VI/28/ 2007</t>
  </si>
  <si>
    <r>
      <t>Plan DOCHODÓW</t>
    </r>
    <r>
      <rPr>
        <sz val="14"/>
        <color indexed="8"/>
        <rFont val="Times New Roman"/>
        <family val="4"/>
      </rPr>
      <t xml:space="preserve"> budżetu Gminy Kruklanki na 2007</t>
    </r>
  </si>
  <si>
    <t>I. Podatki i opłaty</t>
  </si>
  <si>
    <t xml:space="preserve">  1. Od nieruchomości - 0310</t>
  </si>
  <si>
    <t xml:space="preserve">  2. Rolny - 0320</t>
  </si>
  <si>
    <t xml:space="preserve">  3. Od środków transportowych - 0340</t>
  </si>
  <si>
    <t xml:space="preserve">  4. Opłata skarbowa - 0410</t>
  </si>
  <si>
    <t xml:space="preserve">  5. Wpływy z karty podatkowej - 0350</t>
  </si>
  <si>
    <t xml:space="preserve">  6. Udział w podatku dochodowym od osób prawnych - 0020</t>
  </si>
  <si>
    <t xml:space="preserve">  7. Udział w podatku dochodowym od osób fizycznych - 0010</t>
  </si>
  <si>
    <t>II. Dochody z majątku gminy</t>
  </si>
  <si>
    <t xml:space="preserve">  1. Ze sprzedaży</t>
  </si>
  <si>
    <t xml:space="preserve">  2. Z dzierżawy</t>
  </si>
  <si>
    <t>III. Wpłaty od jednostek organizacyjnych gminy</t>
  </si>
  <si>
    <t>IV. Pozostałe dochody</t>
  </si>
  <si>
    <t>A. Ogółem dochody własne</t>
  </si>
  <si>
    <t>V. Subwencja ogólna</t>
  </si>
  <si>
    <t>VI. Ogółem dotacje, z tego</t>
  </si>
  <si>
    <t xml:space="preserve">  1. Dotacje celowe na zadania własne gminy (2030-6330)</t>
  </si>
  <si>
    <t xml:space="preserve">  2. Dotacje celowe na zadania zlecane gminom (2010-6310)</t>
  </si>
  <si>
    <t xml:space="preserve">  3. Dotacje celowe na zadania realizowane w drodze umów i porozumień (2310-2330, 6610-6630)</t>
  </si>
  <si>
    <t xml:space="preserve">  4. Inne dotacje</t>
  </si>
  <si>
    <t>B. Ogółem subwencje i dotacje</t>
  </si>
  <si>
    <t>C. Środki pozyskane z innych źródeł (bieżące i inwestycyjne)</t>
  </si>
  <si>
    <t>Załącznik Nr 2 do uchwały  nr VI/28/ 2007</t>
  </si>
  <si>
    <r>
      <t xml:space="preserve"> Plan</t>
    </r>
    <r>
      <rPr>
        <b/>
        <sz val="14"/>
        <rFont val="Times New Roman"/>
        <family val="1"/>
      </rPr>
      <t xml:space="preserve"> WYDATKÓW</t>
    </r>
    <r>
      <rPr>
        <sz val="14"/>
        <rFont val="Times New Roman"/>
        <family val="1"/>
      </rPr>
      <t xml:space="preserve"> budżetu Gminy Kruklanki na 2007</t>
    </r>
  </si>
  <si>
    <t>Nazwa</t>
  </si>
  <si>
    <t>01010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</si>
  <si>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</si>
  <si>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</si>
  <si>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</si>
  <si>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</si>
  <si>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</si>
  <si>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Wynagrodzenia bezosobowe</t>
  </si>
  <si>
    <t>Zakup materiałów i wyposażenia</t>
  </si>
  <si>
    <t>Różne opłaty i składki</t>
  </si>
  <si>
    <t>400</t>
  </si>
  <si>
    <t>WYTWARZANIE I ZAOPATRYWANIE W ENERGIĘ ELEKTRYCZNĄ, GAZ I WODĘ</t>
  </si>
  <si>
    <t>40002</t>
  </si>
  <si>
    <t>Dostarczanie wody</t>
  </si>
  <si>
    <t>Zakup usług pozostałych</t>
  </si>
  <si>
    <t>TRANSPORT I ŁĄCZNOŚĆ</t>
  </si>
  <si>
    <t>60016</t>
  </si>
  <si>
    <t>Drogi publiczne gminne</t>
  </si>
  <si>
    <t>TURYSTYKA</t>
  </si>
  <si>
    <t>63003</t>
  </si>
  <si>
    <t>Zadania w zakresie upowszechniania turystyki</t>
  </si>
  <si>
    <t>Dotacje celowe na zadania bieżące</t>
  </si>
  <si>
    <t>Wynagrodzenia osobowe pracowników</t>
  </si>
  <si>
    <t>Wynagrodzenia agencyjno-prowizyjne</t>
  </si>
  <si>
    <t>Składki na ubezpieczenia społeczne</t>
  </si>
  <si>
    <t>Zakup pozostałych usług</t>
  </si>
  <si>
    <t xml:space="preserve">Zakup pozostałych usług </t>
  </si>
  <si>
    <t>ADMINISTRACJA PUBLICZNA</t>
  </si>
  <si>
    <t>Dodatkowe wynagrodzenie roczne</t>
  </si>
  <si>
    <t>Składki na Fundusz Pracy</t>
  </si>
  <si>
    <t>Odpisy na zakładowy fundusz świadczeń socjalnych</t>
  </si>
  <si>
    <t xml:space="preserve">Rady gmin (miast i miast na prawach powiatu) </t>
  </si>
  <si>
    <t>Różne wydatki na rzecz osób fizycznych</t>
  </si>
  <si>
    <t>Podróże służbowe krajowe</t>
  </si>
  <si>
    <t>Urzędy gmin (miast i miast na prawach powiatu)</t>
  </si>
  <si>
    <t>Wydatki osobowe nie zaliczane do wynagrodzeń</t>
  </si>
  <si>
    <t>Nagrody o charakterze szczególnym niezaliczane do wynagrodzeń</t>
  </si>
  <si>
    <t>Zakup energii</t>
  </si>
  <si>
    <t>Zakup usług dostępu do sieci Internet</t>
  </si>
  <si>
    <t>Opłaty z tytułu zakupu usług komunikacyjnych telefonii komórkowej</t>
  </si>
  <si>
    <t>Opłaty z tytułu zakupu usług komunikacyjnych telefonii stacjonarnej</t>
  </si>
  <si>
    <t>Szkolenia pracowników nie będących członkami korpusu służby cywilnej</t>
  </si>
  <si>
    <t>Zakup materiałów papierniczych do do sprzętu drukarskiego i urządzeń kserograficznych</t>
  </si>
  <si>
    <t>Zakup akcesoriów komputerowych, w tym programów i licencji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</si>
  <si>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</si>
  <si>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</si>
  <si>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Pobór podatków, opłat i nieopodatkowanych należności budżetowych</t>
  </si>
  <si>
    <t>OBSŁUGA DŁUGU PUBLICZNEGO</t>
  </si>
  <si>
    <t>Obsługa papierów wartościowych, kredytów i pożyczek j.s.t.</t>
  </si>
  <si>
    <t>Odsetki i dyskonto od krajowych skarbowych papierów wartościowych oraz pożyczek i kredytów</t>
  </si>
  <si>
    <t>Rezerwy ogólne i celowe</t>
  </si>
  <si>
    <t xml:space="preserve">Rezerwy  </t>
  </si>
  <si>
    <t>Dodatkowe wynagrodzenia roczne</t>
  </si>
  <si>
    <t>Zakup pomocy naukowych, dydaktycznych i książek</t>
  </si>
  <si>
    <t>Usługi materialne</t>
  </si>
  <si>
    <t>Przedszkola</t>
  </si>
  <si>
    <t>Gimnazja</t>
  </si>
  <si>
    <t>Dowożenie uczniów do szkół</t>
  </si>
  <si>
    <t>Dokształcanie i doskonalenie nauczycieli</t>
  </si>
  <si>
    <t>Domy pomocy społecznej</t>
  </si>
  <si>
    <t>Świadczenia społeczne</t>
  </si>
  <si>
    <t>4130</t>
  </si>
  <si>
    <t xml:space="preserve">Składki na ubezpieczenia zdrowotne  </t>
  </si>
  <si>
    <t>Zasiłki i pomoc w naturze oraz składki na ubezpieczenia społeczne</t>
  </si>
  <si>
    <t>85215</t>
  </si>
  <si>
    <t>Dodatki mieszkaniowe</t>
  </si>
  <si>
    <t>Inne formy pomocy dla uczniów</t>
  </si>
  <si>
    <t>Oczyszczanie miast i wsi</t>
  </si>
  <si>
    <t>Utrzymanie zieleni w miastach i gminach</t>
  </si>
  <si>
    <t>Oświetlenie ulic</t>
  </si>
  <si>
    <t>Wpływy i wydatki związane z gromadzeniem środków z opłat i kar za korzystanie ze środowiska</t>
  </si>
  <si>
    <t>Różne opłaty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</si>
  <si>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</si>
  <si>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</si>
  <si>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</si>
  <si>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</si>
  <si>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KULTURA FIZYCZNA I SPORT</t>
  </si>
  <si>
    <t>Dotacja celowa z budżetu na finansowanie lub dofinansowanie zadań zleconych do realizacji stowarzyszeniom</t>
  </si>
  <si>
    <r>
      <t>OGÓŁEM WYDATKI,</t>
    </r>
    <r>
      <rPr>
        <sz val="12"/>
        <rFont val="Arial CE"/>
        <family val="2"/>
      </rPr>
      <t xml:space="preserve"> z tego:</t>
    </r>
  </si>
  <si>
    <t>OŚWIATA' 2007</t>
  </si>
  <si>
    <t>Szkoły podstawowe - Kruklanki</t>
  </si>
  <si>
    <t>Szkoły podstawowe - Boćwinka</t>
  </si>
  <si>
    <t>Przedszkola przy szkołach podstawowych Kruklanki</t>
  </si>
  <si>
    <t>Przedszkola przy szkołach podstawowych Boćwinka</t>
  </si>
  <si>
    <t>Załącznik nr 3 do uchwały nr VI/28/2007</t>
  </si>
  <si>
    <t>Limity wydatków na wieloletnie programy inwestycyjne w latach 2007 – 2009</t>
  </si>
  <si>
    <t>(zł.)</t>
  </si>
  <si>
    <t>Planowane nakłady</t>
  </si>
  <si>
    <t>jednostka</t>
  </si>
  <si>
    <t>Nazwa zadania</t>
  </si>
  <si>
    <t>Łączne</t>
  </si>
  <si>
    <t>rok</t>
  </si>
  <si>
    <t>w tym źródła finansowania</t>
  </si>
  <si>
    <t>organizacyjna</t>
  </si>
  <si>
    <t>lp.</t>
  </si>
  <si>
    <t>inwestycyjnego</t>
  </si>
  <si>
    <t>koszty</t>
  </si>
  <si>
    <t>budżetowy 2007</t>
  </si>
  <si>
    <t>dochody</t>
  </si>
  <si>
    <t>kredyty</t>
  </si>
  <si>
    <t>środki pochodzące</t>
  </si>
  <si>
    <t>środki wymienione</t>
  </si>
  <si>
    <t>realizująca zadanie lub</t>
  </si>
  <si>
    <t>i okres realizacji w latach</t>
  </si>
  <si>
    <t>finansowe</t>
  </si>
  <si>
    <t>(8+9+10+11)</t>
  </si>
  <si>
    <t>własne</t>
  </si>
  <si>
    <t>i pożyczki</t>
  </si>
  <si>
    <t>z innych źródeł</t>
  </si>
  <si>
    <t>w art. 5 ust. 1 pkt2 i 3 u.f.p.</t>
  </si>
  <si>
    <t>koordynująca program</t>
  </si>
  <si>
    <t>6050</t>
  </si>
  <si>
    <t>Budowa sieci kanalizacyjnej w m. Brożówka</t>
  </si>
  <si>
    <t>Urząd Gminy Kruklanki</t>
  </si>
  <si>
    <t>Kanalizacja sanitarna dla m. Jeziorowskie i Jasieniec</t>
  </si>
  <si>
    <t>Sieć wodociągowa Kruklanki – Żywki Małe</t>
  </si>
  <si>
    <t>600</t>
  </si>
  <si>
    <t>Przebudowa dróg powiatowych 40133 i 40144 i ulic gminnych: Borecka, Lipowa i Wodna w  m. Kruklanki</t>
  </si>
  <si>
    <t>90095</t>
  </si>
  <si>
    <t>Rozbudowa i modernizacja GOZ Kruklanki</t>
  </si>
  <si>
    <t>Budowa sali gimnastycznej w m. Kruklanki</t>
  </si>
  <si>
    <t>RAZEM</t>
  </si>
  <si>
    <t xml:space="preserve"> </t>
  </si>
  <si>
    <t>Załącznik nr 3a do uchwały nr VI/28/2007</t>
  </si>
  <si>
    <t>Zadania inwestycyjne w 2007r.</t>
  </si>
  <si>
    <r>
      <t>Uzbrojenie działek budowlanych w infrastrukturę techniczną</t>
    </r>
    <r>
      <rPr>
        <sz val="8"/>
        <rFont val="Arial CE"/>
        <family val="2"/>
      </rPr>
      <t xml:space="preserve"> (wodociąg, kanalizacja)</t>
    </r>
  </si>
  <si>
    <t>Wykup gruntów</t>
  </si>
  <si>
    <t>75023</t>
  </si>
  <si>
    <t>Realizacja projektu - „Wrota Warmii i Mazur – elektroniczna platforma funkcjonowania admin. publ.</t>
  </si>
  <si>
    <t>754</t>
  </si>
  <si>
    <t>75412</t>
  </si>
  <si>
    <t>Karosacja samochodu strażackiego</t>
  </si>
  <si>
    <t>Termomodernizacja ośrodka zdrowia</t>
  </si>
  <si>
    <t>Budowa przystanku komunikacji publicznej</t>
  </si>
  <si>
    <t>Adaptacja budynku szkoły w Jurkowie na lokale socjalne</t>
  </si>
  <si>
    <t>Załącznik nr 4 do uchwały nr VI/28/ 2007</t>
  </si>
  <si>
    <t>Źródła sfinansowania deficytu lub rozdysponowanie nadwyżki budżetowej</t>
  </si>
  <si>
    <t>w 2007r. - przychody i rozchody budżetu</t>
  </si>
  <si>
    <t>Lp.</t>
  </si>
  <si>
    <t>T r e ś ć</t>
  </si>
  <si>
    <r>
      <t xml:space="preserve">Klasyfikacja </t>
    </r>
    <r>
      <rPr>
        <sz val="10"/>
        <rFont val="Arial"/>
        <family val="2"/>
      </rPr>
      <t>§</t>
    </r>
  </si>
  <si>
    <t>1.</t>
  </si>
  <si>
    <t>Planowane dochody</t>
  </si>
  <si>
    <t>2.</t>
  </si>
  <si>
    <t>Planowane wydatki</t>
  </si>
  <si>
    <t xml:space="preserve">Nadwyżka </t>
  </si>
  <si>
    <t>Deficyt</t>
  </si>
  <si>
    <t>I.</t>
  </si>
  <si>
    <t>Finansowanie (przychody – rozchody)</t>
  </si>
  <si>
    <t>Przychody ogółem:</t>
  </si>
  <si>
    <t>Kredyty</t>
  </si>
  <si>
    <t xml:space="preserve"> § 952</t>
  </si>
  <si>
    <t>Pożyczki</t>
  </si>
  <si>
    <t>3.</t>
  </si>
  <si>
    <t>Pożyczki na finansowanie zadań realizowanych z udziałem środków pochodzących z budżetu U.E.</t>
  </si>
  <si>
    <t xml:space="preserve"> § 903</t>
  </si>
  <si>
    <t>4.</t>
  </si>
  <si>
    <t>Spłata pożyczek udzielonych</t>
  </si>
  <si>
    <t xml:space="preserve"> § 951</t>
  </si>
  <si>
    <t>5.</t>
  </si>
  <si>
    <t>Prywatyzacja majątku j.s.t.</t>
  </si>
  <si>
    <t>§ 941 do 944</t>
  </si>
  <si>
    <t>6.</t>
  </si>
  <si>
    <t>Nadwyżka budżetu z lat ubiegłych</t>
  </si>
  <si>
    <t xml:space="preserve"> § 957</t>
  </si>
  <si>
    <t>7.</t>
  </si>
  <si>
    <t>Obligacje skarbowe</t>
  </si>
  <si>
    <t xml:space="preserve"> § 911</t>
  </si>
  <si>
    <t>8.</t>
  </si>
  <si>
    <t>Inne papiery wartościowe</t>
  </si>
  <si>
    <t xml:space="preserve"> § 931</t>
  </si>
  <si>
    <t>9.</t>
  </si>
  <si>
    <t>Inne źródła (wolne środki)</t>
  </si>
  <si>
    <t xml:space="preserve"> § 955</t>
  </si>
  <si>
    <t>Rozchody ogółem</t>
  </si>
  <si>
    <t>Spłaty kredytów</t>
  </si>
  <si>
    <t xml:space="preserve"> § 992</t>
  </si>
  <si>
    <t>Spłaty pożyczek</t>
  </si>
  <si>
    <t>Spłaty pożyczek otrzymanych na finansowanie zadań realizowanych z udziałem środków pochodzących z budżetu U.E.</t>
  </si>
  <si>
    <t>Udzielone pożyczki</t>
  </si>
  <si>
    <t xml:space="preserve"> § 963</t>
  </si>
  <si>
    <t>Lokaty</t>
  </si>
  <si>
    <t xml:space="preserve"> § 994</t>
  </si>
  <si>
    <t>Wykup papierów wartościowych</t>
  </si>
  <si>
    <t xml:space="preserve"> § 982</t>
  </si>
  <si>
    <t>Wykup obligacji</t>
  </si>
  <si>
    <t xml:space="preserve"> § 971</t>
  </si>
  <si>
    <t>Rozchody z tytułu innych rozliczeń</t>
  </si>
  <si>
    <t xml:space="preserve"> § 995</t>
  </si>
  <si>
    <t>Załącznik Nr 5 do uchwały nr VI/28/2007</t>
  </si>
  <si>
    <t>Dochody i wydatki związane z realizacją zadań z zakresu administracji rządowej</t>
  </si>
  <si>
    <t>i innych zadań zleconych odrębnymi ustawami na 2007</t>
  </si>
  <si>
    <t>(w zł)</t>
  </si>
  <si>
    <t>dział</t>
  </si>
  <si>
    <t>rozdział</t>
  </si>
  <si>
    <t>dotacje ogółem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</si>
  <si>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</si>
  <si>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</si>
  <si>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</si>
  <si>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</si>
  <si>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</si>
  <si>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</si>
  <si>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</si>
  <si>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</si>
  <si>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 xml:space="preserve">R A Z E M </t>
  </si>
  <si>
    <t>Załącznik Nr 6 do uchwały nr VI/28/2007</t>
  </si>
  <si>
    <t>Prognoza kwoty długu gminy na 2007 i lata następne</t>
  </si>
  <si>
    <t>L.p.</t>
  </si>
  <si>
    <t>Rodzaj zadłużenia</t>
  </si>
  <si>
    <t>Wykonanie</t>
  </si>
  <si>
    <t>Przewidywany stan na koniec roku</t>
  </si>
  <si>
    <t>na koniec</t>
  </si>
  <si>
    <t>31.12.2006</t>
  </si>
  <si>
    <t>BOŚ</t>
  </si>
  <si>
    <t>Wyemitowane papiery wartościowe</t>
  </si>
  <si>
    <t>WFOŚiGW</t>
  </si>
  <si>
    <t>Przyjęte depozyty</t>
  </si>
  <si>
    <t>Wymagalne zobowiązania:</t>
  </si>
  <si>
    <t>1) jednostek budżetowych</t>
  </si>
  <si>
    <t>2) wynikające z:</t>
  </si>
  <si>
    <t xml:space="preserve">    a) ustaw,</t>
  </si>
  <si>
    <t xml:space="preserve">    b) orzeczeń sądu,</t>
  </si>
  <si>
    <t xml:space="preserve">    c) udzielonych poręczeń i gwarancji</t>
  </si>
  <si>
    <t xml:space="preserve">    d) innych ustaw,</t>
  </si>
  <si>
    <t>Łączna kwota długu na koniec roku budż.</t>
  </si>
  <si>
    <t>Dochody ogółem</t>
  </si>
  <si>
    <t>% udział długu j.s.t. w dochodach na koniec roku</t>
  </si>
  <si>
    <t>Załącznik nr 6a do uchwały nr VI/28/2007</t>
  </si>
  <si>
    <t>Prognozowana sytuacja finansowa gminy w latach spłaty długu</t>
  </si>
  <si>
    <t>Wyszczególnienie</t>
  </si>
  <si>
    <t>lata spłaty kredytu/pożyczki</t>
  </si>
  <si>
    <t>I</t>
  </si>
  <si>
    <r>
      <t xml:space="preserve">Dochody ogółem: </t>
    </r>
    <r>
      <rPr>
        <b/>
        <i/>
        <sz val="10"/>
        <rFont val="Arial CE"/>
        <family val="2"/>
      </rPr>
      <t>(A+B+C)</t>
    </r>
  </si>
  <si>
    <t>A</t>
  </si>
  <si>
    <t>Dochody własne w tym:</t>
  </si>
  <si>
    <t xml:space="preserve">    z podatków i opłat lokalnych</t>
  </si>
  <si>
    <t xml:space="preserve">    z majątku gminy</t>
  </si>
  <si>
    <t xml:space="preserve">    z udziału w podatkach stanowiących dochód budżetu państwa</t>
  </si>
  <si>
    <t>B</t>
  </si>
  <si>
    <t>Subwencje</t>
  </si>
  <si>
    <t>C</t>
  </si>
  <si>
    <t>Dotacje celowe</t>
  </si>
  <si>
    <t>D</t>
  </si>
  <si>
    <t>Dotacje na zadania własne</t>
  </si>
  <si>
    <t>E</t>
  </si>
  <si>
    <t>Środki pozyskane z innych żródeł</t>
  </si>
  <si>
    <t>II</t>
  </si>
  <si>
    <t>Wydatki ogółem</t>
  </si>
  <si>
    <t>III</t>
  </si>
  <si>
    <t>Spłaty pożyczek i kredytów</t>
  </si>
  <si>
    <t>Spłata zaciągniętych pożyczek, kredytów, w tym:</t>
  </si>
  <si>
    <t>spłata rat pożyczek, kredytów krajowych</t>
  </si>
  <si>
    <t>spłata pożyczek i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</si>
  <si>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</si>
  <si>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</si>
  <si>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</si>
  <si>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Wartość wykupionych papierów wartościowych i dyskonto</t>
  </si>
  <si>
    <t>IV</t>
  </si>
  <si>
    <t>Wynik ( I - II )</t>
  </si>
  <si>
    <t>V</t>
  </si>
  <si>
    <t>Planowana, łączna kwota długu, w tym:</t>
  </si>
  <si>
    <t>Dług zaciągnięty w związku ze środkami określonymi w umowie zawartej z podmiotem dysponującym funduszami strukturalnymi lub F.S.U.E</t>
  </si>
  <si>
    <t>VI.1.</t>
  </si>
  <si>
    <t>Dług / dochody (%) (art.170 ust.1 u.f.p.)</t>
  </si>
  <si>
    <t>VI.2.</t>
  </si>
  <si>
    <t>Spłaty rat i odsetek/dochody (%) (atr.169 ust.1 u.f.p.)</t>
  </si>
  <si>
    <t>VII.1.</t>
  </si>
  <si>
    <t>Dług / dochody (%) (art.170 ust.3 u.f.p.)</t>
  </si>
  <si>
    <t>VII.2.</t>
  </si>
  <si>
    <t>Spłaty rat i odsetek/dochody (%) (atr.169 ust.3 u.f.p.)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</si>
</sst>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%"/>
    <numFmt numFmtId="168" formatCode="#,##0"/>
  </numFmts>
  <fonts count="35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Lucida Sans Unicod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Times New Roman C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4"/>
    </font>
    <font>
      <sz val="10"/>
      <name val="Times New Roman"/>
      <family val="1"/>
    </font>
    <font>
      <sz val="12"/>
      <name val="Arial CE"/>
      <family val="2"/>
    </font>
    <font>
      <sz val="12"/>
      <name val="Arial"/>
      <family val="2"/>
    </font>
    <font>
      <sz val="11"/>
      <name val="Arial CE"/>
      <family val="2"/>
    </font>
    <font>
      <sz val="14"/>
      <name val="Arial CE"/>
      <family val="2"/>
    </font>
    <font>
      <sz val="10"/>
      <name val="Times New Roman CE"/>
      <family val="1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i/>
      <sz val="10"/>
      <name val="Arial CE"/>
      <family val="2"/>
    </font>
    <font>
      <i/>
      <sz val="11"/>
      <name val="Times New Roman CE"/>
      <family val="1"/>
    </font>
    <font>
      <b/>
      <sz val="11"/>
      <name val="Arial"/>
      <family val="2"/>
    </font>
    <font>
      <b/>
      <i/>
      <sz val="10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2" fillId="0" borderId="0">
      <alignment/>
      <protection/>
    </xf>
  </cellStyleXfs>
  <cellXfs count="434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center" wrapText="1"/>
    </xf>
    <xf numFmtId="166" fontId="8" fillId="0" borderId="1" xfId="19" applyNumberFormat="1" applyFont="1" applyFill="1" applyBorder="1" applyAlignment="1" applyProtection="1">
      <alignment vertical="center"/>
      <protection/>
    </xf>
    <xf numFmtId="165" fontId="0" fillId="0" borderId="3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 wrapText="1"/>
    </xf>
    <xf numFmtId="166" fontId="0" fillId="0" borderId="1" xfId="19" applyNumberFormat="1" applyFont="1" applyFill="1" applyBorder="1" applyAlignment="1" applyProtection="1">
      <alignment vertical="center"/>
      <protection/>
    </xf>
    <xf numFmtId="166" fontId="0" fillId="0" borderId="1" xfId="0" applyNumberFormat="1" applyFont="1" applyBorder="1" applyAlignment="1">
      <alignment horizontal="right" vertical="center"/>
    </xf>
    <xf numFmtId="166" fontId="0" fillId="0" borderId="1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/>
    </xf>
    <xf numFmtId="168" fontId="0" fillId="0" borderId="0" xfId="0" applyNumberFormat="1" applyFont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left" vertical="center"/>
    </xf>
    <xf numFmtId="166" fontId="10" fillId="0" borderId="1" xfId="0" applyNumberFormat="1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5" fontId="1" fillId="0" borderId="7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vertical="center"/>
    </xf>
    <xf numFmtId="164" fontId="10" fillId="0" borderId="1" xfId="0" applyFont="1" applyBorder="1" applyAlignment="1">
      <alignment horizontal="left" vertical="center" wrapText="1"/>
    </xf>
    <xf numFmtId="165" fontId="10" fillId="0" borderId="3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wrapText="1"/>
    </xf>
    <xf numFmtId="165" fontId="9" fillId="0" borderId="3" xfId="0" applyNumberFormat="1" applyFont="1" applyBorder="1" applyAlignment="1">
      <alignment vertical="center"/>
    </xf>
    <xf numFmtId="165" fontId="10" fillId="0" borderId="8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center"/>
    </xf>
    <xf numFmtId="166" fontId="0" fillId="0" borderId="1" xfId="0" applyNumberFormat="1" applyFont="1" applyBorder="1" applyAlignment="1">
      <alignment vertical="center"/>
    </xf>
    <xf numFmtId="164" fontId="7" fillId="0" borderId="7" xfId="0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4" fontId="10" fillId="0" borderId="8" xfId="0" applyFont="1" applyBorder="1" applyAlignment="1">
      <alignment horizontal="center" vertical="center" wrapText="1"/>
    </xf>
    <xf numFmtId="164" fontId="10" fillId="0" borderId="10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0" fillId="0" borderId="1" xfId="0" applyFont="1" applyBorder="1" applyAlignment="1">
      <alignment wrapText="1"/>
    </xf>
    <xf numFmtId="165" fontId="0" fillId="0" borderId="7" xfId="0" applyNumberFormat="1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5" fontId="10" fillId="0" borderId="10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5" fontId="10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164" fontId="1" fillId="0" borderId="4" xfId="0" applyFont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vertical="center"/>
    </xf>
    <xf numFmtId="164" fontId="8" fillId="0" borderId="8" xfId="0" applyFont="1" applyBorder="1" applyAlignment="1">
      <alignment horizontal="center" vertical="center"/>
    </xf>
    <xf numFmtId="164" fontId="8" fillId="0" borderId="1" xfId="0" applyFont="1" applyBorder="1" applyAlignment="1">
      <alignment vertical="center"/>
    </xf>
    <xf numFmtId="165" fontId="0" fillId="0" borderId="4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4" fontId="10" fillId="0" borderId="1" xfId="0" applyFont="1" applyFill="1" applyBorder="1" applyAlignment="1" applyProtection="1">
      <alignment horizontal="left" vertical="center" wrapText="1"/>
      <protection locked="0"/>
    </xf>
    <xf numFmtId="165" fontId="10" fillId="0" borderId="9" xfId="0" applyNumberFormat="1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vertical="center"/>
    </xf>
    <xf numFmtId="164" fontId="10" fillId="0" borderId="2" xfId="0" applyFont="1" applyBorder="1" applyAlignment="1">
      <alignment horizontal="center" vertical="center"/>
    </xf>
    <xf numFmtId="166" fontId="10" fillId="0" borderId="1" xfId="0" applyNumberFormat="1" applyFont="1" applyFill="1" applyBorder="1" applyAlignment="1">
      <alignment vertical="center"/>
    </xf>
    <xf numFmtId="164" fontId="10" fillId="0" borderId="3" xfId="0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5" fontId="10" fillId="0" borderId="12" xfId="0" applyNumberFormat="1" applyFont="1" applyBorder="1" applyAlignment="1">
      <alignment vertical="center"/>
    </xf>
    <xf numFmtId="165" fontId="10" fillId="0" borderId="7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3" fillId="0" borderId="13" xfId="0" applyFont="1" applyBorder="1" applyAlignment="1">
      <alignment horizontal="center" vertical="center"/>
    </xf>
    <xf numFmtId="166" fontId="13" fillId="2" borderId="14" xfId="0" applyNumberFormat="1" applyFont="1" applyFill="1" applyBorder="1" applyAlignment="1">
      <alignment vertical="center"/>
    </xf>
    <xf numFmtId="165" fontId="14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left" vertical="center"/>
    </xf>
    <xf numFmtId="165" fontId="16" fillId="0" borderId="0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17" fillId="0" borderId="1" xfId="0" applyNumberFormat="1" applyFont="1" applyBorder="1" applyAlignment="1">
      <alignment/>
    </xf>
    <xf numFmtId="166" fontId="18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wrapText="1"/>
    </xf>
    <xf numFmtId="166" fontId="19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66" fontId="11" fillId="0" borderId="1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66" fontId="0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wrapText="1"/>
    </xf>
    <xf numFmtId="165" fontId="20" fillId="0" borderId="1" xfId="0" applyNumberFormat="1" applyFont="1" applyBorder="1" applyAlignment="1">
      <alignment horizontal="center"/>
    </xf>
    <xf numFmtId="166" fontId="13" fillId="0" borderId="1" xfId="0" applyNumberFormat="1" applyFont="1" applyBorder="1" applyAlignment="1">
      <alignment/>
    </xf>
    <xf numFmtId="164" fontId="0" fillId="0" borderId="0" xfId="0" applyFont="1" applyBorder="1" applyAlignment="1">
      <alignment vertical="center"/>
    </xf>
    <xf numFmtId="164" fontId="0" fillId="0" borderId="0" xfId="0" applyFont="1" applyAlignment="1">
      <alignment vertic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vertical="center"/>
    </xf>
    <xf numFmtId="164" fontId="16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vertical="center"/>
    </xf>
    <xf numFmtId="164" fontId="6" fillId="0" borderId="4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164" fontId="7" fillId="0" borderId="0" xfId="0" applyFont="1" applyAlignment="1">
      <alignment vertical="center"/>
    </xf>
    <xf numFmtId="166" fontId="8" fillId="0" borderId="0" xfId="0" applyNumberFormat="1" applyFont="1" applyBorder="1" applyAlignment="1">
      <alignment vertical="center"/>
    </xf>
    <xf numFmtId="164" fontId="9" fillId="0" borderId="0" xfId="0" applyFont="1" applyAlignment="1">
      <alignment vertical="center"/>
    </xf>
    <xf numFmtId="164" fontId="0" fillId="0" borderId="1" xfId="0" applyFont="1" applyBorder="1" applyAlignment="1">
      <alignment horizontal="left" vertical="center"/>
    </xf>
    <xf numFmtId="166" fontId="0" fillId="0" borderId="0" xfId="0" applyNumberFormat="1" applyFont="1" applyBorder="1" applyAlignment="1">
      <alignment horizontal="right" vertical="center"/>
    </xf>
    <xf numFmtId="164" fontId="0" fillId="0" borderId="0" xfId="0" applyFont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12" fillId="0" borderId="15" xfId="0" applyFont="1" applyBorder="1" applyAlignment="1">
      <alignment horizontal="center" vertical="center" wrapText="1"/>
    </xf>
    <xf numFmtId="164" fontId="10" fillId="0" borderId="16" xfId="0" applyFont="1" applyBorder="1" applyAlignment="1">
      <alignment horizontal="left" vertical="center"/>
    </xf>
    <xf numFmtId="166" fontId="10" fillId="0" borderId="0" xfId="0" applyNumberFormat="1" applyFont="1" applyBorder="1" applyAlignment="1">
      <alignment vertical="center"/>
    </xf>
    <xf numFmtId="164" fontId="8" fillId="0" borderId="3" xfId="0" applyFont="1" applyBorder="1" applyAlignment="1">
      <alignment vertical="center"/>
    </xf>
    <xf numFmtId="165" fontId="8" fillId="0" borderId="3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vertical="center"/>
    </xf>
    <xf numFmtId="164" fontId="0" fillId="0" borderId="3" xfId="0" applyFont="1" applyBorder="1" applyAlignment="1">
      <alignment vertical="center"/>
    </xf>
    <xf numFmtId="165" fontId="8" fillId="0" borderId="8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4" fontId="0" fillId="0" borderId="8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/>
    </xf>
    <xf numFmtId="164" fontId="0" fillId="0" borderId="10" xfId="0" applyFont="1" applyBorder="1" applyAlignment="1">
      <alignment vertical="center"/>
    </xf>
    <xf numFmtId="164" fontId="0" fillId="0" borderId="1" xfId="0" applyFont="1" applyBorder="1" applyAlignment="1">
      <alignment horizontal="left" vertical="center"/>
    </xf>
    <xf numFmtId="164" fontId="0" fillId="0" borderId="9" xfId="0" applyFont="1" applyBorder="1" applyAlignment="1">
      <alignment vertical="center"/>
    </xf>
    <xf numFmtId="164" fontId="8" fillId="0" borderId="3" xfId="0" applyFont="1" applyBorder="1" applyAlignment="1">
      <alignment horizontal="center" vertical="center"/>
    </xf>
    <xf numFmtId="164" fontId="1" fillId="0" borderId="1" xfId="0" applyFont="1" applyBorder="1" applyAlignment="1">
      <alignment vertical="center" wrapText="1"/>
    </xf>
    <xf numFmtId="164" fontId="8" fillId="0" borderId="7" xfId="0" applyFont="1" applyBorder="1" applyAlignment="1">
      <alignment vertical="center"/>
    </xf>
    <xf numFmtId="164" fontId="12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vertical="center"/>
    </xf>
    <xf numFmtId="164" fontId="8" fillId="0" borderId="8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  <xf numFmtId="164" fontId="8" fillId="0" borderId="1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/>
    </xf>
    <xf numFmtId="164" fontId="8" fillId="0" borderId="9" xfId="0" applyFont="1" applyBorder="1" applyAlignment="1">
      <alignment horizontal="center" vertical="center"/>
    </xf>
    <xf numFmtId="166" fontId="8" fillId="0" borderId="1" xfId="19" applyNumberFormat="1" applyFont="1" applyFill="1" applyBorder="1" applyAlignment="1" applyProtection="1">
      <alignment vertical="center"/>
      <protection/>
    </xf>
    <xf numFmtId="166" fontId="8" fillId="0" borderId="0" xfId="19" applyNumberFormat="1" applyFont="1" applyFill="1" applyBorder="1" applyAlignment="1" applyProtection="1">
      <alignment vertical="center"/>
      <protection/>
    </xf>
    <xf numFmtId="164" fontId="0" fillId="0" borderId="1" xfId="0" applyFont="1" applyBorder="1" applyAlignment="1">
      <alignment vertical="center"/>
    </xf>
    <xf numFmtId="166" fontId="0" fillId="0" borderId="0" xfId="19" applyNumberFormat="1" applyFont="1" applyFill="1" applyBorder="1" applyAlignment="1" applyProtection="1">
      <alignment vertical="center"/>
      <protection/>
    </xf>
    <xf numFmtId="164" fontId="0" fillId="0" borderId="1" xfId="0" applyFont="1" applyBorder="1" applyAlignment="1">
      <alignment wrapText="1"/>
    </xf>
    <xf numFmtId="164" fontId="8" fillId="0" borderId="1" xfId="0" applyFont="1" applyBorder="1" applyAlignment="1">
      <alignment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8" fillId="0" borderId="2" xfId="0" applyFont="1" applyBorder="1" applyAlignment="1">
      <alignment vertical="center"/>
    </xf>
    <xf numFmtId="164" fontId="0" fillId="0" borderId="10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17" xfId="0" applyFont="1" applyBorder="1" applyAlignment="1">
      <alignment vertical="center"/>
    </xf>
    <xf numFmtId="164" fontId="8" fillId="0" borderId="3" xfId="0" applyFont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10" fillId="0" borderId="2" xfId="0" applyFont="1" applyBorder="1" applyAlignment="1">
      <alignment horizontal="center" vertical="center"/>
    </xf>
    <xf numFmtId="164" fontId="10" fillId="0" borderId="3" xfId="0" applyFont="1" applyBorder="1" applyAlignment="1">
      <alignment horizontal="center" vertical="center"/>
    </xf>
    <xf numFmtId="164" fontId="10" fillId="0" borderId="7" xfId="0" applyFont="1" applyBorder="1" applyAlignment="1">
      <alignment horizontal="center" vertical="center"/>
    </xf>
    <xf numFmtId="166" fontId="12" fillId="0" borderId="1" xfId="19" applyNumberFormat="1" applyFont="1" applyFill="1" applyBorder="1" applyAlignment="1" applyProtection="1">
      <alignment vertical="center"/>
      <protection/>
    </xf>
    <xf numFmtId="166" fontId="12" fillId="0" borderId="0" xfId="19" applyNumberFormat="1" applyFont="1" applyFill="1" applyBorder="1" applyAlignment="1" applyProtection="1">
      <alignment vertical="center"/>
      <protection/>
    </xf>
    <xf numFmtId="164" fontId="12" fillId="0" borderId="3" xfId="0" applyFont="1" applyBorder="1" applyAlignment="1">
      <alignment horizontal="center" vertical="center"/>
    </xf>
    <xf numFmtId="166" fontId="8" fillId="0" borderId="0" xfId="19" applyNumberFormat="1" applyFont="1" applyFill="1" applyBorder="1" applyAlignment="1" applyProtection="1">
      <alignment vertical="center"/>
      <protection/>
    </xf>
    <xf numFmtId="164" fontId="12" fillId="0" borderId="7" xfId="0" applyFont="1" applyBorder="1" applyAlignment="1">
      <alignment horizontal="center" vertical="center"/>
    </xf>
    <xf numFmtId="166" fontId="1" fillId="0" borderId="1" xfId="19" applyNumberFormat="1" applyFont="1" applyFill="1" applyBorder="1" applyAlignment="1" applyProtection="1">
      <alignment vertical="center"/>
      <protection/>
    </xf>
    <xf numFmtId="164" fontId="0" fillId="0" borderId="3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7" fillId="0" borderId="3" xfId="0" applyFont="1" applyBorder="1" applyAlignment="1">
      <alignment vertical="center"/>
    </xf>
    <xf numFmtId="164" fontId="8" fillId="0" borderId="1" xfId="0" applyFont="1" applyFill="1" applyBorder="1" applyAlignment="1" applyProtection="1">
      <alignment horizontal="left" vertical="center" wrapText="1"/>
      <protection locked="0"/>
    </xf>
    <xf numFmtId="165" fontId="8" fillId="0" borderId="7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 applyProtection="1">
      <alignment horizontal="left" vertical="center"/>
      <protection locked="0"/>
    </xf>
    <xf numFmtId="165" fontId="8" fillId="0" borderId="1" xfId="0" applyNumberFormat="1" applyFont="1" applyBorder="1" applyAlignment="1">
      <alignment horizontal="left" vertical="center"/>
    </xf>
    <xf numFmtId="165" fontId="0" fillId="0" borderId="9" xfId="0" applyNumberFormat="1" applyFont="1" applyBorder="1" applyAlignment="1">
      <alignment horizontal="center" vertical="center"/>
    </xf>
    <xf numFmtId="166" fontId="0" fillId="0" borderId="1" xfId="19" applyNumberFormat="1" applyFont="1" applyFill="1" applyBorder="1" applyAlignment="1" applyProtection="1">
      <alignment vertical="center"/>
      <protection/>
    </xf>
    <xf numFmtId="166" fontId="1" fillId="0" borderId="0" xfId="0" applyNumberFormat="1" applyFont="1" applyBorder="1" applyAlignment="1">
      <alignment vertical="center"/>
    </xf>
    <xf numFmtId="164" fontId="0" fillId="0" borderId="9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vertical="center"/>
    </xf>
    <xf numFmtId="166" fontId="21" fillId="0" borderId="1" xfId="0" applyNumberFormat="1" applyFont="1" applyBorder="1" applyAlignment="1">
      <alignment vertical="center"/>
    </xf>
    <xf numFmtId="164" fontId="1" fillId="0" borderId="0" xfId="0" applyFont="1" applyAlignment="1">
      <alignment vertical="center"/>
    </xf>
    <xf numFmtId="164" fontId="8" fillId="0" borderId="5" xfId="0" applyFont="1" applyBorder="1" applyAlignment="1">
      <alignment vertical="center"/>
    </xf>
    <xf numFmtId="164" fontId="1" fillId="0" borderId="7" xfId="0" applyFont="1" applyBorder="1" applyAlignment="1">
      <alignment horizontal="center" vertical="center"/>
    </xf>
    <xf numFmtId="164" fontId="8" fillId="0" borderId="10" xfId="0" applyFont="1" applyBorder="1" applyAlignment="1">
      <alignment horizontal="center" vertical="center"/>
    </xf>
    <xf numFmtId="164" fontId="1" fillId="0" borderId="17" xfId="0" applyFont="1" applyBorder="1" applyAlignment="1">
      <alignment vertical="center" wrapText="1"/>
    </xf>
    <xf numFmtId="164" fontId="8" fillId="0" borderId="14" xfId="0" applyFont="1" applyBorder="1" applyAlignment="1">
      <alignment vertical="center"/>
    </xf>
    <xf numFmtId="164" fontId="0" fillId="0" borderId="18" xfId="0" applyFont="1" applyBorder="1" applyAlignment="1">
      <alignment vertical="center"/>
    </xf>
    <xf numFmtId="164" fontId="1" fillId="0" borderId="13" xfId="0" applyFont="1" applyBorder="1" applyAlignment="1">
      <alignment horizontal="center" vertical="center"/>
    </xf>
    <xf numFmtId="164" fontId="1" fillId="0" borderId="19" xfId="0" applyFont="1" applyBorder="1" applyAlignment="1">
      <alignment vertical="center" wrapText="1"/>
    </xf>
    <xf numFmtId="166" fontId="0" fillId="0" borderId="13" xfId="19" applyNumberFormat="1" applyFont="1" applyFill="1" applyBorder="1" applyAlignment="1" applyProtection="1">
      <alignment vertical="center"/>
      <protection/>
    </xf>
    <xf numFmtId="164" fontId="22" fillId="0" borderId="20" xfId="0" applyFont="1" applyBorder="1" applyAlignment="1">
      <alignment horizontal="center" vertical="center"/>
    </xf>
    <xf numFmtId="166" fontId="13" fillId="3" borderId="20" xfId="0" applyNumberFormat="1" applyFont="1" applyFill="1" applyBorder="1" applyAlignment="1">
      <alignment vertical="center"/>
    </xf>
    <xf numFmtId="166" fontId="13" fillId="3" borderId="0" xfId="0" applyNumberFormat="1" applyFont="1" applyFill="1" applyBorder="1" applyAlignment="1">
      <alignment vertical="center"/>
    </xf>
    <xf numFmtId="164" fontId="22" fillId="0" borderId="0" xfId="0" applyFont="1" applyBorder="1" applyAlignment="1">
      <alignment horizontal="center" vertical="center"/>
    </xf>
    <xf numFmtId="166" fontId="13" fillId="0" borderId="0" xfId="0" applyNumberFormat="1" applyFont="1" applyFill="1" applyBorder="1" applyAlignment="1">
      <alignment vertical="center"/>
    </xf>
    <xf numFmtId="164" fontId="22" fillId="0" borderId="0" xfId="0" applyFont="1" applyAlignment="1">
      <alignment vertical="center"/>
    </xf>
    <xf numFmtId="164" fontId="7" fillId="0" borderId="16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4" fontId="10" fillId="0" borderId="8" xfId="0" applyFont="1" applyBorder="1" applyAlignment="1">
      <alignment horizontal="center" vertical="center"/>
    </xf>
    <xf numFmtId="164" fontId="10" fillId="0" borderId="17" xfId="0" applyFont="1" applyBorder="1" applyAlignment="1">
      <alignment horizontal="left" vertical="center"/>
    </xf>
    <xf numFmtId="166" fontId="10" fillId="0" borderId="1" xfId="19" applyNumberFormat="1" applyFont="1" applyFill="1" applyBorder="1" applyAlignment="1" applyProtection="1">
      <alignment vertical="center"/>
      <protection/>
    </xf>
    <xf numFmtId="168" fontId="10" fillId="0" borderId="0" xfId="19" applyNumberFormat="1" applyFont="1" applyFill="1" applyBorder="1" applyAlignment="1" applyProtection="1">
      <alignment vertical="center"/>
      <protection/>
    </xf>
    <xf numFmtId="164" fontId="1" fillId="0" borderId="10" xfId="0" applyFont="1" applyBorder="1" applyAlignment="1">
      <alignment vertical="center"/>
    </xf>
    <xf numFmtId="166" fontId="1" fillId="0" borderId="1" xfId="19" applyNumberFormat="1" applyFont="1" applyFill="1" applyBorder="1" applyAlignment="1" applyProtection="1">
      <alignment vertical="center"/>
      <protection/>
    </xf>
    <xf numFmtId="168" fontId="1" fillId="0" borderId="0" xfId="19" applyNumberFormat="1" applyFont="1" applyFill="1" applyBorder="1" applyAlignment="1" applyProtection="1">
      <alignment vertical="center"/>
      <protection/>
    </xf>
    <xf numFmtId="164" fontId="1" fillId="0" borderId="9" xfId="0" applyFont="1" applyBorder="1" applyAlignment="1">
      <alignment vertical="center"/>
    </xf>
    <xf numFmtId="166" fontId="10" fillId="0" borderId="1" xfId="19" applyNumberFormat="1" applyFont="1" applyFill="1" applyBorder="1" applyAlignment="1" applyProtection="1">
      <alignment vertical="center"/>
      <protection/>
    </xf>
    <xf numFmtId="168" fontId="10" fillId="0" borderId="0" xfId="19" applyNumberFormat="1" applyFont="1" applyFill="1" applyBorder="1" applyAlignment="1" applyProtection="1">
      <alignment vertical="center"/>
      <protection/>
    </xf>
    <xf numFmtId="164" fontId="1" fillId="0" borderId="10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0" fillId="0" borderId="17" xfId="0" applyFont="1" applyBorder="1" applyAlignment="1">
      <alignment horizontal="left" vertical="center" wrapText="1"/>
    </xf>
    <xf numFmtId="164" fontId="1" fillId="0" borderId="3" xfId="0" applyFont="1" applyBorder="1" applyAlignment="1">
      <alignment horizontal="center" vertical="center"/>
    </xf>
    <xf numFmtId="168" fontId="10" fillId="0" borderId="0" xfId="0" applyNumberFormat="1" applyFont="1" applyBorder="1" applyAlignment="1">
      <alignment vertical="center"/>
    </xf>
    <xf numFmtId="164" fontId="1" fillId="0" borderId="7" xfId="0" applyFont="1" applyBorder="1" applyAlignment="1">
      <alignment vertical="center"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22" fillId="0" borderId="0" xfId="0" applyFont="1" applyBorder="1" applyAlignment="1">
      <alignment horizontal="left" vertical="center"/>
    </xf>
    <xf numFmtId="164" fontId="22" fillId="0" borderId="0" xfId="0" applyFont="1" applyBorder="1" applyAlignment="1">
      <alignment horizontal="center" vertical="center" wrapText="1"/>
    </xf>
    <xf numFmtId="164" fontId="23" fillId="0" borderId="0" xfId="0" applyFont="1" applyAlignment="1">
      <alignment horizontal="center"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1" fillId="0" borderId="3" xfId="0" applyFont="1" applyBorder="1" applyAlignment="1">
      <alignment/>
    </xf>
    <xf numFmtId="164" fontId="1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21" xfId="0" applyFont="1" applyBorder="1" applyAlignment="1">
      <alignment horizontal="center" vertical="center" wrapText="1"/>
    </xf>
    <xf numFmtId="164" fontId="1" fillId="0" borderId="7" xfId="0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7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 wrapText="1"/>
    </xf>
    <xf numFmtId="164" fontId="24" fillId="0" borderId="1" xfId="0" applyFont="1" applyBorder="1" applyAlignment="1">
      <alignment horizontal="center"/>
    </xf>
    <xf numFmtId="164" fontId="24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 wrapText="1"/>
    </xf>
    <xf numFmtId="166" fontId="1" fillId="0" borderId="7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center" vertical="center"/>
    </xf>
    <xf numFmtId="164" fontId="1" fillId="0" borderId="8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right" vertical="center"/>
    </xf>
    <xf numFmtId="168" fontId="1" fillId="0" borderId="7" xfId="0" applyNumberFormat="1" applyFont="1" applyBorder="1" applyAlignment="1">
      <alignment horizontal="center" vertical="center" wrapText="1"/>
    </xf>
    <xf numFmtId="168" fontId="1" fillId="0" borderId="0" xfId="0" applyNumberFormat="1" applyFont="1" applyAlignment="1">
      <alignment/>
    </xf>
    <xf numFmtId="164" fontId="18" fillId="0" borderId="0" xfId="0" applyFont="1" applyBorder="1" applyAlignment="1">
      <alignment horizontal="center"/>
    </xf>
    <xf numFmtId="164" fontId="11" fillId="0" borderId="0" xfId="0" applyFont="1" applyAlignment="1">
      <alignment horizontal="center"/>
    </xf>
    <xf numFmtId="164" fontId="18" fillId="0" borderId="0" xfId="0" applyFont="1" applyAlignment="1">
      <alignment horizontal="left"/>
    </xf>
    <xf numFmtId="168" fontId="1" fillId="0" borderId="0" xfId="0" applyNumberFormat="1" applyFont="1" applyAlignment="1">
      <alignment/>
    </xf>
    <xf numFmtId="164" fontId="1" fillId="0" borderId="0" xfId="0" applyFont="1" applyAlignment="1">
      <alignment vertical="center"/>
    </xf>
    <xf numFmtId="164" fontId="26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27" fillId="0" borderId="0" xfId="0" applyFont="1" applyBorder="1" applyAlignment="1">
      <alignment horizontal="left" vertical="center"/>
    </xf>
    <xf numFmtId="164" fontId="27" fillId="0" borderId="0" xfId="0" applyFont="1" applyBorder="1" applyAlignment="1">
      <alignment horizontal="center" vertical="center" wrapText="1"/>
    </xf>
    <xf numFmtId="164" fontId="28" fillId="0" borderId="0" xfId="0" applyFont="1" applyAlignment="1">
      <alignment horizontal="center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 wrapText="1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16" fillId="0" borderId="3" xfId="0" applyFont="1" applyBorder="1" applyAlignment="1">
      <alignment horizont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/>
    </xf>
    <xf numFmtId="164" fontId="0" fillId="0" borderId="21" xfId="0" applyFont="1" applyBorder="1" applyAlignment="1">
      <alignment horizontal="center" vertical="center" wrapText="1"/>
    </xf>
    <xf numFmtId="164" fontId="0" fillId="0" borderId="7" xfId="0" applyFont="1" applyBorder="1" applyAlignment="1">
      <alignment/>
    </xf>
    <xf numFmtId="164" fontId="0" fillId="0" borderId="7" xfId="0" applyFont="1" applyBorder="1" applyAlignment="1">
      <alignment horizontal="center"/>
    </xf>
    <xf numFmtId="164" fontId="0" fillId="0" borderId="7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left" vertical="center" wrapText="1"/>
    </xf>
    <xf numFmtId="166" fontId="0" fillId="0" borderId="7" xfId="0" applyNumberFormat="1" applyFont="1" applyBorder="1" applyAlignment="1">
      <alignment horizontal="right" vertical="center"/>
    </xf>
    <xf numFmtId="165" fontId="29" fillId="0" borderId="1" xfId="0" applyNumberFormat="1" applyFont="1" applyBorder="1" applyAlignment="1">
      <alignment horizontal="left" vertical="center" wrapText="1"/>
    </xf>
    <xf numFmtId="165" fontId="0" fillId="0" borderId="7" xfId="0" applyNumberFormat="1" applyFont="1" applyBorder="1" applyAlignment="1">
      <alignment horizontal="center" vertical="center"/>
    </xf>
    <xf numFmtId="166" fontId="0" fillId="0" borderId="22" xfId="0" applyNumberFormat="1" applyFont="1" applyBorder="1" applyAlignment="1">
      <alignment horizontal="right" vertical="center"/>
    </xf>
    <xf numFmtId="166" fontId="30" fillId="0" borderId="7" xfId="0" applyNumberFormat="1" applyFont="1" applyBorder="1" applyAlignment="1">
      <alignment horizontal="center" vertical="center"/>
    </xf>
    <xf numFmtId="166" fontId="30" fillId="0" borderId="7" xfId="0" applyNumberFormat="1" applyFont="1" applyBorder="1" applyAlignment="1">
      <alignment horizontal="right" vertical="center"/>
    </xf>
    <xf numFmtId="166" fontId="19" fillId="0" borderId="1" xfId="0" applyNumberFormat="1" applyFont="1" applyBorder="1" applyAlignment="1">
      <alignment horizontal="right" vertical="center"/>
    </xf>
    <xf numFmtId="168" fontId="0" fillId="0" borderId="7" xfId="0" applyNumberFormat="1" applyFont="1" applyBorder="1" applyAlignment="1">
      <alignment horizontal="center" vertical="center" wrapText="1"/>
    </xf>
    <xf numFmtId="168" fontId="0" fillId="0" borderId="0" xfId="0" applyNumberFormat="1" applyFont="1" applyAlignment="1">
      <alignment/>
    </xf>
    <xf numFmtId="164" fontId="17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17" fillId="0" borderId="0" xfId="0" applyFont="1" applyAlignment="1">
      <alignment horizontal="left"/>
    </xf>
    <xf numFmtId="164" fontId="31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64" fontId="0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22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24" fillId="0" borderId="0" xfId="0" applyFont="1" applyBorder="1" applyAlignment="1">
      <alignment horizontal="right"/>
    </xf>
    <xf numFmtId="164" fontId="24" fillId="0" borderId="2" xfId="0" applyFont="1" applyBorder="1" applyAlignment="1">
      <alignment horizontal="center"/>
    </xf>
    <xf numFmtId="166" fontId="24" fillId="0" borderId="2" xfId="0" applyNumberFormat="1" applyFont="1" applyBorder="1" applyAlignment="1">
      <alignment horizontal="center"/>
    </xf>
    <xf numFmtId="164" fontId="24" fillId="0" borderId="3" xfId="0" applyFont="1" applyBorder="1" applyAlignment="1">
      <alignment horizontal="center"/>
    </xf>
    <xf numFmtId="166" fontId="10" fillId="0" borderId="1" xfId="0" applyNumberFormat="1" applyFont="1" applyFill="1" applyBorder="1" applyAlignment="1">
      <alignment/>
    </xf>
    <xf numFmtId="164" fontId="1" fillId="0" borderId="4" xfId="0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right"/>
    </xf>
    <xf numFmtId="168" fontId="1" fillId="0" borderId="1" xfId="19" applyNumberFormat="1" applyFont="1" applyFill="1" applyBorder="1" applyAlignment="1" applyProtection="1">
      <alignment vertical="center"/>
      <protection/>
    </xf>
    <xf numFmtId="164" fontId="1" fillId="0" borderId="2" xfId="0" applyFont="1" applyBorder="1" applyAlignment="1">
      <alignment horizontal="right"/>
    </xf>
    <xf numFmtId="164" fontId="24" fillId="0" borderId="7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11" fillId="0" borderId="8" xfId="0" applyFont="1" applyBorder="1" applyAlignment="1">
      <alignment horizontal="center" wrapText="1"/>
    </xf>
    <xf numFmtId="166" fontId="11" fillId="0" borderId="8" xfId="0" applyNumberFormat="1" applyFont="1" applyBorder="1" applyAlignment="1">
      <alignment horizontal="right" wrapText="1"/>
    </xf>
    <xf numFmtId="164" fontId="11" fillId="0" borderId="3" xfId="0" applyFont="1" applyBorder="1" applyAlignment="1">
      <alignment horizontal="center"/>
    </xf>
    <xf numFmtId="164" fontId="10" fillId="0" borderId="2" xfId="0" applyFont="1" applyFill="1" applyBorder="1" applyAlignment="1">
      <alignment horizontal="center"/>
    </xf>
    <xf numFmtId="164" fontId="10" fillId="0" borderId="8" xfId="0" applyFont="1" applyBorder="1" applyAlignment="1">
      <alignment horizontal="center" wrapText="1"/>
    </xf>
    <xf numFmtId="166" fontId="10" fillId="0" borderId="8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/>
    </xf>
    <xf numFmtId="164" fontId="10" fillId="0" borderId="7" xfId="0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 wrapText="1"/>
    </xf>
    <xf numFmtId="166" fontId="1" fillId="0" borderId="8" xfId="0" applyNumberFormat="1" applyFont="1" applyBorder="1" applyAlignment="1">
      <alignment horizontal="right" wrapText="1"/>
    </xf>
    <xf numFmtId="164" fontId="32" fillId="0" borderId="3" xfId="0" applyFont="1" applyFill="1" applyBorder="1" applyAlignment="1">
      <alignment horizontal="center"/>
    </xf>
    <xf numFmtId="164" fontId="10" fillId="0" borderId="8" xfId="0" applyFont="1" applyFill="1" applyBorder="1" applyAlignment="1">
      <alignment horizontal="center"/>
    </xf>
    <xf numFmtId="164" fontId="10" fillId="0" borderId="4" xfId="0" applyFont="1" applyFill="1" applyBorder="1" applyAlignment="1">
      <alignment horizontal="left"/>
    </xf>
    <xf numFmtId="166" fontId="10" fillId="0" borderId="4" xfId="0" applyNumberFormat="1" applyFont="1" applyFill="1" applyBorder="1" applyAlignment="1">
      <alignment horizontal="left"/>
    </xf>
    <xf numFmtId="164" fontId="10" fillId="0" borderId="3" xfId="0" applyFont="1" applyFill="1" applyBorder="1" applyAlignment="1">
      <alignment horizontal="center"/>
    </xf>
    <xf numFmtId="164" fontId="10" fillId="0" borderId="10" xfId="0" applyFont="1" applyFill="1" applyBorder="1" applyAlignment="1">
      <alignment horizontal="center"/>
    </xf>
    <xf numFmtId="166" fontId="1" fillId="0" borderId="4" xfId="0" applyNumberFormat="1" applyFont="1" applyBorder="1" applyAlignment="1">
      <alignment horizontal="center" vertical="center"/>
    </xf>
    <xf numFmtId="164" fontId="1" fillId="0" borderId="10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0" borderId="1" xfId="0" applyNumberFormat="1" applyFont="1" applyFill="1" applyBorder="1" applyAlignment="1">
      <alignment/>
    </xf>
    <xf numFmtId="164" fontId="11" fillId="0" borderId="2" xfId="0" applyFont="1" applyBorder="1" applyAlignment="1">
      <alignment horizontal="center" vertical="center"/>
    </xf>
    <xf numFmtId="164" fontId="11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4" fontId="32" fillId="0" borderId="5" xfId="0" applyFont="1" applyFill="1" applyBorder="1" applyAlignment="1">
      <alignment horizontal="center" vertical="center"/>
    </xf>
    <xf numFmtId="164" fontId="32" fillId="0" borderId="2" xfId="0" applyFont="1" applyFill="1" applyBorder="1" applyAlignment="1">
      <alignment horizontal="center" vertical="center"/>
    </xf>
    <xf numFmtId="164" fontId="32" fillId="0" borderId="4" xfId="0" applyFont="1" applyFill="1" applyBorder="1" applyAlignment="1">
      <alignment horizontal="left" vertical="center"/>
    </xf>
    <xf numFmtId="166" fontId="32" fillId="0" borderId="4" xfId="0" applyNumberFormat="1" applyFont="1" applyFill="1" applyBorder="1" applyAlignment="1">
      <alignment horizontal="left" vertical="center"/>
    </xf>
    <xf numFmtId="166" fontId="10" fillId="0" borderId="1" xfId="0" applyNumberFormat="1" applyFont="1" applyFill="1" applyBorder="1" applyAlignment="1">
      <alignment vertical="center"/>
    </xf>
    <xf numFmtId="164" fontId="2" fillId="0" borderId="5" xfId="0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164" fontId="2" fillId="0" borderId="6" xfId="0" applyFont="1" applyFill="1" applyBorder="1" applyAlignment="1">
      <alignment horizontal="center" vertical="center"/>
    </xf>
    <xf numFmtId="164" fontId="2" fillId="0" borderId="7" xfId="0" applyFont="1" applyFill="1" applyBorder="1" applyAlignment="1">
      <alignment horizontal="center" vertical="center"/>
    </xf>
    <xf numFmtId="164" fontId="11" fillId="0" borderId="2" xfId="0" applyFont="1" applyBorder="1" applyAlignment="1">
      <alignment horizontal="center" vertical="top"/>
    </xf>
    <xf numFmtId="164" fontId="11" fillId="0" borderId="1" xfId="0" applyFont="1" applyBorder="1" applyAlignment="1">
      <alignment horizontal="center" wrapText="1"/>
    </xf>
    <xf numFmtId="166" fontId="11" fillId="0" borderId="1" xfId="0" applyNumberFormat="1" applyFont="1" applyBorder="1" applyAlignment="1">
      <alignment horizontal="center" wrapText="1"/>
    </xf>
    <xf numFmtId="166" fontId="11" fillId="0" borderId="1" xfId="0" applyNumberFormat="1" applyFont="1" applyBorder="1" applyAlignment="1">
      <alignment horizontal="right" wrapText="1"/>
    </xf>
    <xf numFmtId="164" fontId="11" fillId="0" borderId="3" xfId="0" applyFont="1" applyBorder="1" applyAlignment="1">
      <alignment horizontal="center" vertical="top"/>
    </xf>
    <xf numFmtId="164" fontId="10" fillId="0" borderId="2" xfId="0" applyFont="1" applyBorder="1" applyAlignment="1">
      <alignment horizontal="center" vertical="center"/>
    </xf>
    <xf numFmtId="164" fontId="10" fillId="0" borderId="1" xfId="0" applyFont="1" applyBorder="1" applyAlignment="1">
      <alignment horizontal="left"/>
    </xf>
    <xf numFmtId="166" fontId="10" fillId="0" borderId="1" xfId="0" applyNumberFormat="1" applyFont="1" applyBorder="1" applyAlignment="1">
      <alignment horizontal="left"/>
    </xf>
    <xf numFmtId="166" fontId="10" fillId="0" borderId="1" xfId="0" applyNumberFormat="1" applyFont="1" applyBorder="1" applyAlignment="1">
      <alignment horizontal="right"/>
    </xf>
    <xf numFmtId="164" fontId="10" fillId="0" borderId="3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right"/>
    </xf>
    <xf numFmtId="164" fontId="11" fillId="0" borderId="7" xfId="0" applyFont="1" applyBorder="1" applyAlignment="1">
      <alignment horizontal="center" vertical="top"/>
    </xf>
    <xf numFmtId="164" fontId="10" fillId="0" borderId="7" xfId="0" applyFont="1" applyBorder="1" applyAlignment="1">
      <alignment horizontal="center" vertical="top"/>
    </xf>
    <xf numFmtId="164" fontId="11" fillId="0" borderId="1" xfId="0" applyFont="1" applyBorder="1" applyAlignment="1">
      <alignment horizontal="center"/>
    </xf>
    <xf numFmtId="166" fontId="11" fillId="0" borderId="1" xfId="0" applyNumberFormat="1" applyFont="1" applyBorder="1" applyAlignment="1">
      <alignment horizontal="right"/>
    </xf>
    <xf numFmtId="164" fontId="10" fillId="0" borderId="2" xfId="0" applyFont="1" applyBorder="1" applyAlignment="1">
      <alignment horizontal="center"/>
    </xf>
    <xf numFmtId="164" fontId="11" fillId="0" borderId="7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0" fillId="0" borderId="2" xfId="0" applyFont="1" applyFill="1" applyBorder="1" applyAlignment="1">
      <alignment horizontal="center" vertical="center"/>
    </xf>
    <xf numFmtId="164" fontId="10" fillId="0" borderId="1" xfId="0" applyFont="1" applyBorder="1" applyAlignment="1">
      <alignment horizontal="left" vertical="center" wrapText="1"/>
    </xf>
    <xf numFmtId="166" fontId="10" fillId="0" borderId="1" xfId="0" applyNumberFormat="1" applyFont="1" applyBorder="1" applyAlignment="1">
      <alignment horizontal="left" vertical="center" wrapText="1"/>
    </xf>
    <xf numFmtId="164" fontId="32" fillId="0" borderId="3" xfId="0" applyFont="1" applyFill="1" applyBorder="1" applyAlignment="1">
      <alignment horizontal="center" vertical="center"/>
    </xf>
    <xf numFmtId="166" fontId="32" fillId="0" borderId="1" xfId="0" applyNumberFormat="1" applyFont="1" applyFill="1" applyBorder="1" applyAlignment="1">
      <alignment vertical="center"/>
    </xf>
    <xf numFmtId="164" fontId="1" fillId="0" borderId="8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4" fontId="10" fillId="0" borderId="4" xfId="0" applyFont="1" applyFill="1" applyBorder="1" applyAlignment="1">
      <alignment horizontal="left" wrapText="1"/>
    </xf>
    <xf numFmtId="166" fontId="10" fillId="0" borderId="4" xfId="0" applyNumberFormat="1" applyFont="1" applyFill="1" applyBorder="1" applyAlignment="1">
      <alignment horizontal="left" wrapText="1"/>
    </xf>
    <xf numFmtId="164" fontId="10" fillId="0" borderId="4" xfId="0" applyFont="1" applyFill="1" applyBorder="1" applyAlignment="1">
      <alignment horizontal="left" vertical="center"/>
    </xf>
    <xf numFmtId="166" fontId="10" fillId="0" borderId="4" xfId="0" applyNumberFormat="1" applyFont="1" applyFill="1" applyBorder="1" applyAlignment="1">
      <alignment horizontal="left" vertical="center"/>
    </xf>
    <xf numFmtId="164" fontId="0" fillId="0" borderId="3" xfId="0" applyBorder="1" applyAlignment="1">
      <alignment/>
    </xf>
    <xf numFmtId="164" fontId="13" fillId="0" borderId="1" xfId="0" applyFont="1" applyBorder="1" applyAlignment="1">
      <alignment horizontal="center"/>
    </xf>
    <xf numFmtId="166" fontId="13" fillId="0" borderId="1" xfId="0" applyNumberFormat="1" applyFont="1" applyBorder="1" applyAlignment="1">
      <alignment horizontal="right"/>
    </xf>
    <xf numFmtId="166" fontId="13" fillId="0" borderId="4" xfId="0" applyNumberFormat="1" applyFont="1" applyBorder="1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 vertical="center"/>
    </xf>
    <xf numFmtId="164" fontId="1" fillId="0" borderId="7" xfId="0" applyFont="1" applyFill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8" fontId="18" fillId="0" borderId="1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166" fontId="18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left" vertical="top" wrapText="1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20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168" fontId="8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Font="1" applyBorder="1" applyAlignment="1">
      <alignment vertical="center" wrapText="1"/>
    </xf>
    <xf numFmtId="166" fontId="0" fillId="0" borderId="1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 wrapText="1"/>
    </xf>
    <xf numFmtId="168" fontId="0" fillId="0" borderId="1" xfId="0" applyNumberFormat="1" applyFont="1" applyBorder="1" applyAlignment="1">
      <alignment horizontal="right" vertical="center" wrapText="1"/>
    </xf>
    <xf numFmtId="166" fontId="8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>
      <alignment horizontal="right"/>
    </xf>
    <xf numFmtId="164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="85" zoomScaleNormal="85" zoomScaleSheetLayoutView="55" workbookViewId="0" topLeftCell="A1">
      <selection activeCell="F118" sqref="F118"/>
    </sheetView>
  </sheetViews>
  <sheetFormatPr defaultColWidth="12.00390625" defaultRowHeight="12.75"/>
  <cols>
    <col min="1" max="1" width="6.00390625" style="1" customWidth="1"/>
    <col min="2" max="2" width="9.00390625" style="1" customWidth="1"/>
    <col min="3" max="3" width="6.00390625" style="1" customWidth="1"/>
    <col min="4" max="4" width="73.00390625" style="1" customWidth="1"/>
    <col min="5" max="5" width="17.375" style="1" customWidth="1"/>
    <col min="6" max="6" width="15.125" style="1" customWidth="1"/>
    <col min="7" max="7" width="11.625" style="1" customWidth="1"/>
    <col min="8" max="8" width="17.375" style="1" customWidth="1"/>
    <col min="9" max="243" width="11.625" style="1" customWidth="1"/>
    <col min="244" max="248" width="11.625" style="2" customWidth="1"/>
    <col min="249" max="16384" width="11.625" style="0" customWidth="1"/>
  </cols>
  <sheetData>
    <row r="1" spans="5:8" ht="12.75">
      <c r="E1" s="3" t="s">
        <v>0</v>
      </c>
      <c r="F1" s="3"/>
      <c r="G1" s="3"/>
      <c r="H1" s="3"/>
    </row>
    <row r="2" spans="5:8" ht="12.75">
      <c r="E2" s="3" t="s">
        <v>1</v>
      </c>
      <c r="F2" s="3"/>
      <c r="G2" s="3"/>
      <c r="H2" s="3"/>
    </row>
    <row r="3" spans="5:8" ht="12.75">
      <c r="E3" s="3" t="s">
        <v>2</v>
      </c>
      <c r="F3" s="3"/>
      <c r="G3" s="3"/>
      <c r="H3" s="3"/>
    </row>
    <row r="5" spans="1:8" ht="18.75">
      <c r="A5" s="4" t="s">
        <v>3</v>
      </c>
      <c r="B5" s="4"/>
      <c r="C5" s="4"/>
      <c r="D5" s="4"/>
      <c r="E5" s="4"/>
      <c r="F5" s="4"/>
      <c r="G5" s="4"/>
      <c r="H5" s="4"/>
    </row>
    <row r="6" spans="1:4" ht="17.25">
      <c r="A6" s="5"/>
      <c r="B6" s="5"/>
      <c r="C6" s="5"/>
      <c r="D6" s="5"/>
    </row>
    <row r="7" spans="1:8" ht="21.75" customHeight="1">
      <c r="A7" s="6" t="s">
        <v>4</v>
      </c>
      <c r="B7" s="6"/>
      <c r="C7" s="6"/>
      <c r="D7" s="6" t="s">
        <v>5</v>
      </c>
      <c r="E7" s="7" t="s">
        <v>6</v>
      </c>
      <c r="F7" s="7" t="s">
        <v>7</v>
      </c>
      <c r="G7" s="7" t="s">
        <v>8</v>
      </c>
      <c r="H7" s="7" t="s">
        <v>9</v>
      </c>
    </row>
    <row r="8" spans="1:8" ht="12.75">
      <c r="A8" s="6" t="s">
        <v>10</v>
      </c>
      <c r="B8" s="6" t="s">
        <v>11</v>
      </c>
      <c r="C8" s="6" t="s">
        <v>12</v>
      </c>
      <c r="D8" s="6"/>
      <c r="E8" s="7"/>
      <c r="F8" s="7"/>
      <c r="G8" s="7"/>
      <c r="H8" s="7"/>
    </row>
    <row r="9" spans="1:8" ht="12.75">
      <c r="A9" s="8">
        <v>1</v>
      </c>
      <c r="B9" s="9">
        <v>2</v>
      </c>
      <c r="C9" s="9">
        <v>3</v>
      </c>
      <c r="D9" s="9">
        <v>4</v>
      </c>
      <c r="E9" s="9">
        <v>6</v>
      </c>
      <c r="F9" s="9"/>
      <c r="G9" s="9"/>
      <c r="H9" s="9"/>
    </row>
    <row r="10" spans="1:8" ht="15">
      <c r="A10" s="10" t="s">
        <v>13</v>
      </c>
      <c r="B10" s="11" t="s">
        <v>14</v>
      </c>
      <c r="C10" s="11"/>
      <c r="D10" s="11"/>
      <c r="E10" s="12">
        <f>SUM(E13,E11,E34)</f>
        <v>446970</v>
      </c>
      <c r="F10" s="12">
        <f>SUM(F13,F11)</f>
        <v>35583.54</v>
      </c>
      <c r="G10" s="12">
        <f>SUM(G13,G11)</f>
        <v>0</v>
      </c>
      <c r="H10" s="12">
        <f>SUM(H13,H11)</f>
        <v>482553.54</v>
      </c>
    </row>
    <row r="11" spans="1:8" ht="15">
      <c r="A11" s="10"/>
      <c r="B11" s="13" t="s">
        <v>15</v>
      </c>
      <c r="C11" s="14" t="s">
        <v>16</v>
      </c>
      <c r="D11" s="14"/>
      <c r="E11" s="15">
        <f>SUM(E12)</f>
        <v>0</v>
      </c>
      <c r="F11" s="15">
        <f>SUM(F12)</f>
        <v>35583.54</v>
      </c>
      <c r="G11" s="15">
        <f>SUM(G12)</f>
        <v>0</v>
      </c>
      <c r="H11" s="15">
        <f>SUM(H12)</f>
        <v>35583.54</v>
      </c>
    </row>
    <row r="12" spans="1:8" ht="24.75">
      <c r="A12" s="10"/>
      <c r="B12" s="16"/>
      <c r="C12" s="17" t="s">
        <v>17</v>
      </c>
      <c r="D12" s="18" t="s">
        <v>18</v>
      </c>
      <c r="E12" s="19">
        <v>0</v>
      </c>
      <c r="F12" s="20">
        <v>35583.54</v>
      </c>
      <c r="G12" s="21"/>
      <c r="H12" s="20">
        <f>E12+F12-G12</f>
        <v>35583.54</v>
      </c>
    </row>
    <row r="13" spans="1:8" ht="24.75">
      <c r="A13" s="22"/>
      <c r="B13" s="13" t="s">
        <v>19</v>
      </c>
      <c r="C13" s="14" t="s">
        <v>20</v>
      </c>
      <c r="D13" s="14"/>
      <c r="E13" s="23">
        <f>SUM(E14)</f>
        <v>446970</v>
      </c>
      <c r="F13" s="23">
        <f>SUM(F14)</f>
        <v>0</v>
      </c>
      <c r="G13" s="23">
        <f>SUM(G14)</f>
        <v>0</v>
      </c>
      <c r="H13" s="23">
        <f>SUM(H14)</f>
        <v>446970</v>
      </c>
    </row>
    <row r="14" spans="1:8" ht="24.75">
      <c r="A14" s="22"/>
      <c r="B14" s="16"/>
      <c r="C14" s="6">
        <v>6298</v>
      </c>
      <c r="D14" s="24" t="s">
        <v>21</v>
      </c>
      <c r="E14" s="19">
        <v>446970</v>
      </c>
      <c r="F14" s="20"/>
      <c r="G14" s="20"/>
      <c r="H14" s="20">
        <f>E14+F14-G14</f>
        <v>446970</v>
      </c>
    </row>
    <row r="15" spans="1:9" ht="15">
      <c r="A15" s="10" t="s">
        <v>22</v>
      </c>
      <c r="B15" s="25" t="s">
        <v>23</v>
      </c>
      <c r="C15" s="25"/>
      <c r="D15" s="25"/>
      <c r="E15" s="12">
        <f>SUM(E16)</f>
        <v>1000</v>
      </c>
      <c r="F15" s="12">
        <f>SUM(F16)</f>
        <v>0</v>
      </c>
      <c r="G15" s="12">
        <f>SUM(G16)</f>
        <v>0</v>
      </c>
      <c r="H15" s="12">
        <f>SUM(H16)</f>
        <v>1000</v>
      </c>
      <c r="I15" s="26"/>
    </row>
    <row r="16" spans="1:8" ht="13.5">
      <c r="A16" s="27"/>
      <c r="B16" s="28" t="s">
        <v>24</v>
      </c>
      <c r="C16" s="29" t="s">
        <v>25</v>
      </c>
      <c r="D16" s="29"/>
      <c r="E16" s="30">
        <f>SUM(E17)</f>
        <v>1000</v>
      </c>
      <c r="F16" s="30">
        <f>SUM(F17)</f>
        <v>0</v>
      </c>
      <c r="G16" s="30">
        <f>SUM(G17)</f>
        <v>0</v>
      </c>
      <c r="H16" s="30">
        <f>SUM(H17)</f>
        <v>1000</v>
      </c>
    </row>
    <row r="17" spans="1:8" ht="24.75">
      <c r="A17" s="31"/>
      <c r="B17" s="32"/>
      <c r="C17" s="17" t="s">
        <v>26</v>
      </c>
      <c r="D17" s="18" t="s">
        <v>27</v>
      </c>
      <c r="E17" s="33">
        <v>1000</v>
      </c>
      <c r="F17" s="33"/>
      <c r="G17" s="33"/>
      <c r="H17" s="33">
        <f>E17+F17-G17</f>
        <v>1000</v>
      </c>
    </row>
    <row r="18" spans="1:8" ht="15">
      <c r="A18" s="10" t="s">
        <v>28</v>
      </c>
      <c r="B18" s="25" t="s">
        <v>29</v>
      </c>
      <c r="C18" s="25"/>
      <c r="D18" s="25"/>
      <c r="E18" s="12">
        <f>SUM(E19)</f>
        <v>248000</v>
      </c>
      <c r="F18" s="12">
        <f>SUM(F19)</f>
        <v>60000</v>
      </c>
      <c r="G18" s="12">
        <f>SUM(G19)</f>
        <v>0</v>
      </c>
      <c r="H18" s="12">
        <f>SUM(H19)</f>
        <v>308000</v>
      </c>
    </row>
    <row r="19" spans="1:8" ht="13.5">
      <c r="A19" s="34"/>
      <c r="B19" s="28" t="s">
        <v>30</v>
      </c>
      <c r="C19" s="35" t="s">
        <v>31</v>
      </c>
      <c r="D19" s="35"/>
      <c r="E19" s="30">
        <f>SUM(E20:E22)</f>
        <v>248000</v>
      </c>
      <c r="F19" s="30">
        <f>SUM(F20:F22)</f>
        <v>60000</v>
      </c>
      <c r="G19" s="30">
        <f>SUM(G20:G22)</f>
        <v>0</v>
      </c>
      <c r="H19" s="30">
        <f>SUM(H20:H22)</f>
        <v>308000</v>
      </c>
    </row>
    <row r="20" spans="1:8" ht="13.5">
      <c r="A20" s="34"/>
      <c r="B20" s="36"/>
      <c r="C20" s="17" t="s">
        <v>32</v>
      </c>
      <c r="D20" s="18" t="s">
        <v>33</v>
      </c>
      <c r="E20" s="33">
        <v>18000</v>
      </c>
      <c r="F20" s="33"/>
      <c r="G20" s="33"/>
      <c r="H20" s="33">
        <f>E20+F20-G20</f>
        <v>18000</v>
      </c>
    </row>
    <row r="21" spans="1:8" ht="24.75">
      <c r="A21" s="37"/>
      <c r="B21" s="38"/>
      <c r="C21" s="17" t="s">
        <v>26</v>
      </c>
      <c r="D21" s="39" t="s">
        <v>34</v>
      </c>
      <c r="E21" s="33">
        <v>30000</v>
      </c>
      <c r="F21" s="33"/>
      <c r="G21" s="33"/>
      <c r="H21" s="33">
        <f>E21+F21-G21</f>
        <v>30000</v>
      </c>
    </row>
    <row r="22" spans="1:8" ht="12.75">
      <c r="A22" s="37"/>
      <c r="B22" s="38"/>
      <c r="C22" s="17" t="s">
        <v>35</v>
      </c>
      <c r="D22" s="39" t="s">
        <v>36</v>
      </c>
      <c r="E22" s="33">
        <v>200000</v>
      </c>
      <c r="F22" s="33">
        <v>60000</v>
      </c>
      <c r="G22" s="33"/>
      <c r="H22" s="33">
        <f>E22+F22-G22</f>
        <v>260000</v>
      </c>
    </row>
    <row r="23" spans="1:8" ht="15">
      <c r="A23" s="10" t="s">
        <v>37</v>
      </c>
      <c r="B23" s="11" t="s">
        <v>38</v>
      </c>
      <c r="C23" s="11"/>
      <c r="D23" s="11"/>
      <c r="E23" s="12">
        <f>SUM(E24)</f>
        <v>2000</v>
      </c>
      <c r="F23" s="12">
        <f>SUM(F24)</f>
        <v>0</v>
      </c>
      <c r="G23" s="12">
        <f>SUM(G24)</f>
        <v>0</v>
      </c>
      <c r="H23" s="12">
        <f>SUM(H24)</f>
        <v>2000</v>
      </c>
    </row>
    <row r="24" spans="1:8" ht="13.5">
      <c r="A24" s="40"/>
      <c r="B24" s="41" t="s">
        <v>39</v>
      </c>
      <c r="C24" s="29" t="s">
        <v>40</v>
      </c>
      <c r="D24" s="29"/>
      <c r="E24" s="30">
        <f>SUM(E25:E25)</f>
        <v>2000</v>
      </c>
      <c r="F24" s="30">
        <f>SUM(F25:F25)</f>
        <v>0</v>
      </c>
      <c r="G24" s="30">
        <f>SUM(G25:G25)</f>
        <v>0</v>
      </c>
      <c r="H24" s="30">
        <f>SUM(H25:H25)</f>
        <v>2000</v>
      </c>
    </row>
    <row r="25" spans="1:8" ht="24.75">
      <c r="A25" s="42"/>
      <c r="B25" s="43"/>
      <c r="C25" s="17" t="s">
        <v>41</v>
      </c>
      <c r="D25" s="18" t="s">
        <v>42</v>
      </c>
      <c r="E25" s="33">
        <v>2000</v>
      </c>
      <c r="F25" s="33"/>
      <c r="G25" s="33"/>
      <c r="H25" s="33">
        <f>E25+F25-G25</f>
        <v>2000</v>
      </c>
    </row>
    <row r="26" spans="1:8" ht="15">
      <c r="A26" s="10" t="s">
        <v>43</v>
      </c>
      <c r="B26" s="25" t="s">
        <v>44</v>
      </c>
      <c r="C26" s="25"/>
      <c r="D26" s="25"/>
      <c r="E26" s="12">
        <f>SUM(E27)</f>
        <v>29020</v>
      </c>
      <c r="F26" s="12">
        <f>SUM(F27)</f>
        <v>0</v>
      </c>
      <c r="G26" s="12">
        <f>SUM(G27)</f>
        <v>0</v>
      </c>
      <c r="H26" s="12">
        <f>SUM(H27)</f>
        <v>29020</v>
      </c>
    </row>
    <row r="27" spans="1:8" ht="13.5">
      <c r="A27" s="40"/>
      <c r="B27" s="28" t="s">
        <v>45</v>
      </c>
      <c r="C27" s="29" t="s">
        <v>46</v>
      </c>
      <c r="D27" s="29"/>
      <c r="E27" s="30">
        <f>SUM(E28:E28)</f>
        <v>29020</v>
      </c>
      <c r="F27" s="30">
        <f>SUM(F28:F28)</f>
        <v>0</v>
      </c>
      <c r="G27" s="30">
        <f>SUM(G28:G28)</f>
        <v>0</v>
      </c>
      <c r="H27" s="30">
        <f>SUM(H28:H28)</f>
        <v>29020</v>
      </c>
    </row>
    <row r="28" spans="1:8" ht="24.75">
      <c r="A28" s="42"/>
      <c r="B28" s="38"/>
      <c r="C28" s="17" t="s">
        <v>17</v>
      </c>
      <c r="D28" s="18" t="s">
        <v>18</v>
      </c>
      <c r="E28" s="33">
        <v>29020</v>
      </c>
      <c r="F28" s="33"/>
      <c r="G28" s="33"/>
      <c r="H28" s="33">
        <f>E28+F28-G28</f>
        <v>29020</v>
      </c>
    </row>
    <row r="29" spans="1:8" ht="29.25">
      <c r="A29" s="10" t="s">
        <v>47</v>
      </c>
      <c r="B29" s="44" t="s">
        <v>48</v>
      </c>
      <c r="C29" s="44"/>
      <c r="D29" s="44"/>
      <c r="E29" s="12">
        <f>SUM(E30)</f>
        <v>800</v>
      </c>
      <c r="F29" s="12">
        <f>SUM(F30)</f>
        <v>0</v>
      </c>
      <c r="G29" s="12">
        <f>SUM(G30)</f>
        <v>0</v>
      </c>
      <c r="H29" s="12">
        <f>SUM(H30)</f>
        <v>800</v>
      </c>
    </row>
    <row r="30" spans="1:8" ht="15">
      <c r="A30" s="45"/>
      <c r="B30" s="28" t="s">
        <v>49</v>
      </c>
      <c r="C30" s="35" t="s">
        <v>50</v>
      </c>
      <c r="D30" s="35"/>
      <c r="E30" s="30">
        <f>SUM(E31)</f>
        <v>800</v>
      </c>
      <c r="F30" s="30">
        <f>SUM(F31)</f>
        <v>0</v>
      </c>
      <c r="G30" s="30">
        <f>SUM(G31)</f>
        <v>0</v>
      </c>
      <c r="H30" s="30">
        <f>SUM(H31)</f>
        <v>800</v>
      </c>
    </row>
    <row r="31" spans="1:8" ht="24.75">
      <c r="A31" s="45"/>
      <c r="B31" s="32"/>
      <c r="C31" s="17" t="s">
        <v>17</v>
      </c>
      <c r="D31" s="18" t="s">
        <v>18</v>
      </c>
      <c r="E31" s="33">
        <v>800</v>
      </c>
      <c r="F31" s="33"/>
      <c r="G31" s="33"/>
      <c r="H31" s="33">
        <f>E31+F31-G31</f>
        <v>800</v>
      </c>
    </row>
    <row r="32" spans="1:8" ht="15">
      <c r="A32" s="46">
        <v>754</v>
      </c>
      <c r="B32" s="44" t="s">
        <v>51</v>
      </c>
      <c r="C32" s="44"/>
      <c r="D32" s="44"/>
      <c r="E32" s="12">
        <f>SUM(E33,E35)</f>
        <v>300</v>
      </c>
      <c r="F32" s="12">
        <f>SUM(F33,F35)</f>
        <v>15000</v>
      </c>
      <c r="G32" s="12">
        <f>SUM(G33,G35)</f>
        <v>0</v>
      </c>
      <c r="H32" s="12">
        <f>SUM(H33,H35)</f>
        <v>15300</v>
      </c>
    </row>
    <row r="33" spans="1:8" ht="15">
      <c r="A33" s="47"/>
      <c r="B33" s="48">
        <v>75412</v>
      </c>
      <c r="C33" s="49" t="s">
        <v>52</v>
      </c>
      <c r="D33" s="49"/>
      <c r="E33" s="23">
        <f>SUM(E34)</f>
        <v>0</v>
      </c>
      <c r="F33" s="23">
        <f>SUM(F34)</f>
        <v>15000</v>
      </c>
      <c r="G33" s="23">
        <f>SUM(G34)</f>
        <v>0</v>
      </c>
      <c r="H33" s="23">
        <f>SUM(H34)</f>
        <v>15000</v>
      </c>
    </row>
    <row r="34" spans="1:8" ht="24.75">
      <c r="A34" s="47"/>
      <c r="B34" s="44"/>
      <c r="C34" s="7">
        <v>6630</v>
      </c>
      <c r="D34" s="24" t="s">
        <v>53</v>
      </c>
      <c r="E34" s="50"/>
      <c r="F34" s="50">
        <v>15000</v>
      </c>
      <c r="G34" s="50"/>
      <c r="H34" s="50">
        <f>E34+F34-G34</f>
        <v>15000</v>
      </c>
    </row>
    <row r="35" spans="1:8" ht="15">
      <c r="A35" s="47"/>
      <c r="B35" s="48">
        <v>75414</v>
      </c>
      <c r="C35" s="49" t="s">
        <v>54</v>
      </c>
      <c r="D35" s="49"/>
      <c r="E35" s="23">
        <f>SUM(E36:E36)</f>
        <v>300</v>
      </c>
      <c r="F35" s="23">
        <f>SUM(F36:F36)</f>
        <v>0</v>
      </c>
      <c r="G35" s="23">
        <f>SUM(G36:G36)</f>
        <v>0</v>
      </c>
      <c r="H35" s="23">
        <f>SUM(H36:H36)</f>
        <v>300</v>
      </c>
    </row>
    <row r="36" spans="1:8" ht="24.75">
      <c r="A36" s="51"/>
      <c r="B36" s="52"/>
      <c r="C36" s="17" t="s">
        <v>17</v>
      </c>
      <c r="D36" s="18" t="s">
        <v>18</v>
      </c>
      <c r="E36" s="33">
        <v>300</v>
      </c>
      <c r="F36" s="33"/>
      <c r="G36" s="33"/>
      <c r="H36" s="33">
        <f>E36+F36-G36</f>
        <v>300</v>
      </c>
    </row>
    <row r="37" spans="1:8" ht="43.5">
      <c r="A37" s="10" t="s">
        <v>55</v>
      </c>
      <c r="B37" s="53" t="s">
        <v>56</v>
      </c>
      <c r="C37" s="53"/>
      <c r="D37" s="53"/>
      <c r="E37" s="12">
        <f>SUM(E38,E40,E62,E64,E49)</f>
        <v>2046976</v>
      </c>
      <c r="F37" s="12">
        <f>SUM(F38,F40,F62,F64,F49)</f>
        <v>14524</v>
      </c>
      <c r="G37" s="12">
        <f>SUM(G38,G40,G62,G64,G49)</f>
        <v>0</v>
      </c>
      <c r="H37" s="12">
        <f>SUM(H38,H40,H62,H64,H49)</f>
        <v>2061500</v>
      </c>
    </row>
    <row r="38" spans="1:8" ht="15">
      <c r="A38" s="45"/>
      <c r="B38" s="54">
        <v>75601</v>
      </c>
      <c r="C38" s="35" t="s">
        <v>57</v>
      </c>
      <c r="D38" s="35"/>
      <c r="E38" s="30">
        <f>SUM(E39:E39)</f>
        <v>2000</v>
      </c>
      <c r="F38" s="30">
        <f>SUM(F39:F39)</f>
        <v>0</v>
      </c>
      <c r="G38" s="30">
        <f>SUM(G39:G39)</f>
        <v>0</v>
      </c>
      <c r="H38" s="30">
        <f>SUM(H39:H39)</f>
        <v>2000</v>
      </c>
    </row>
    <row r="39" spans="1:8" ht="24.75">
      <c r="A39" s="45"/>
      <c r="B39" s="55"/>
      <c r="C39" s="56" t="s">
        <v>58</v>
      </c>
      <c r="D39" s="18" t="s">
        <v>59</v>
      </c>
      <c r="E39" s="33">
        <v>2000</v>
      </c>
      <c r="F39" s="33"/>
      <c r="G39" s="33"/>
      <c r="H39" s="33">
        <f>E39+F39-G39</f>
        <v>2000</v>
      </c>
    </row>
    <row r="40" spans="1:8" ht="36.75">
      <c r="A40" s="42"/>
      <c r="B40" s="41" t="s">
        <v>60</v>
      </c>
      <c r="C40" s="35" t="s">
        <v>61</v>
      </c>
      <c r="D40" s="35"/>
      <c r="E40" s="30">
        <f>SUM(E41:E48)</f>
        <v>744000</v>
      </c>
      <c r="F40" s="30">
        <f>SUM(F41:F48)</f>
        <v>2060</v>
      </c>
      <c r="G40" s="30">
        <f>SUM(G41:G48)</f>
        <v>0</v>
      </c>
      <c r="H40" s="30">
        <f>SUM(H41:H48)</f>
        <v>746060</v>
      </c>
    </row>
    <row r="41" spans="1:8" ht="12.75">
      <c r="A41" s="42"/>
      <c r="B41" s="57"/>
      <c r="C41" s="17" t="s">
        <v>62</v>
      </c>
      <c r="D41" s="58" t="s">
        <v>63</v>
      </c>
      <c r="E41" s="33">
        <v>550000</v>
      </c>
      <c r="F41" s="33"/>
      <c r="G41" s="33"/>
      <c r="H41" s="33">
        <f>E41+F41-G41</f>
        <v>550000</v>
      </c>
    </row>
    <row r="42" spans="1:8" ht="12.75">
      <c r="A42" s="42"/>
      <c r="B42" s="57"/>
      <c r="C42" s="17" t="s">
        <v>64</v>
      </c>
      <c r="D42" s="58" t="s">
        <v>65</v>
      </c>
      <c r="E42" s="33">
        <v>10000</v>
      </c>
      <c r="F42" s="33"/>
      <c r="G42" s="33"/>
      <c r="H42" s="33">
        <f>E42+F42-G42</f>
        <v>10000</v>
      </c>
    </row>
    <row r="43" spans="1:8" ht="12.75">
      <c r="A43" s="42"/>
      <c r="B43" s="57"/>
      <c r="C43" s="17" t="s">
        <v>66</v>
      </c>
      <c r="D43" s="58" t="s">
        <v>67</v>
      </c>
      <c r="E43" s="33">
        <v>180000</v>
      </c>
      <c r="F43" s="33"/>
      <c r="G43" s="33"/>
      <c r="H43" s="33">
        <f>E43+F43-G43</f>
        <v>180000</v>
      </c>
    </row>
    <row r="44" spans="1:8" ht="12.75">
      <c r="A44" s="42"/>
      <c r="B44" s="57"/>
      <c r="C44" s="17" t="s">
        <v>68</v>
      </c>
      <c r="D44" s="58" t="s">
        <v>69</v>
      </c>
      <c r="E44" s="33">
        <v>2500</v>
      </c>
      <c r="F44" s="33"/>
      <c r="G44" s="33"/>
      <c r="H44" s="33">
        <f>E44+F44-G44</f>
        <v>2500</v>
      </c>
    </row>
    <row r="45" spans="1:8" ht="12.75">
      <c r="A45" s="42"/>
      <c r="B45" s="57"/>
      <c r="C45" s="17" t="s">
        <v>70</v>
      </c>
      <c r="D45" s="39" t="s">
        <v>71</v>
      </c>
      <c r="E45" s="33">
        <v>1500</v>
      </c>
      <c r="F45" s="33"/>
      <c r="G45" s="33"/>
      <c r="H45" s="33">
        <f>E45+F45-G45</f>
        <v>1500</v>
      </c>
    </row>
    <row r="46" spans="1:8" ht="12.75">
      <c r="A46" s="42"/>
      <c r="B46" s="57"/>
      <c r="C46" s="17" t="s">
        <v>72</v>
      </c>
      <c r="D46" s="59" t="s">
        <v>73</v>
      </c>
      <c r="E46" s="33"/>
      <c r="F46" s="33"/>
      <c r="G46" s="33"/>
      <c r="H46" s="33">
        <f>E46+F46-G46</f>
        <v>0</v>
      </c>
    </row>
    <row r="47" spans="1:8" ht="12.75">
      <c r="A47" s="42"/>
      <c r="B47" s="57"/>
      <c r="C47" s="17" t="s">
        <v>74</v>
      </c>
      <c r="D47" s="59" t="s">
        <v>75</v>
      </c>
      <c r="E47" s="33"/>
      <c r="F47" s="33">
        <v>60</v>
      </c>
      <c r="G47" s="33"/>
      <c r="H47" s="33">
        <f>E47+F47-G47</f>
        <v>60</v>
      </c>
    </row>
    <row r="48" spans="1:8" ht="12.75">
      <c r="A48" s="60"/>
      <c r="B48" s="43"/>
      <c r="C48" s="17" t="s">
        <v>76</v>
      </c>
      <c r="D48" s="39" t="s">
        <v>77</v>
      </c>
      <c r="E48" s="33"/>
      <c r="F48" s="33">
        <v>2000</v>
      </c>
      <c r="G48" s="33"/>
      <c r="H48" s="33">
        <f>E48+F48-G48</f>
        <v>2000</v>
      </c>
    </row>
    <row r="49" spans="1:8" ht="36.75">
      <c r="A49" s="61"/>
      <c r="B49" s="41" t="s">
        <v>78</v>
      </c>
      <c r="C49" s="35" t="s">
        <v>79</v>
      </c>
      <c r="D49" s="35"/>
      <c r="E49" s="30">
        <f>SUM(E50:E61)</f>
        <v>673500</v>
      </c>
      <c r="F49" s="30">
        <f>SUM(F50:F61)</f>
        <v>7100</v>
      </c>
      <c r="G49" s="30">
        <f>SUM(G50:G61)</f>
        <v>0</v>
      </c>
      <c r="H49" s="30">
        <f>SUM(H50:H61)</f>
        <v>680600</v>
      </c>
    </row>
    <row r="50" spans="1:8" ht="12.75">
      <c r="A50" s="42"/>
      <c r="B50" s="57"/>
      <c r="C50" s="17" t="s">
        <v>62</v>
      </c>
      <c r="D50" s="58" t="s">
        <v>63</v>
      </c>
      <c r="E50" s="33">
        <v>390000</v>
      </c>
      <c r="F50" s="33"/>
      <c r="G50" s="33"/>
      <c r="H50" s="33">
        <f>E50+F50-G50</f>
        <v>390000</v>
      </c>
    </row>
    <row r="51" spans="1:8" ht="12.75">
      <c r="A51" s="42"/>
      <c r="B51" s="57"/>
      <c r="C51" s="17" t="s">
        <v>64</v>
      </c>
      <c r="D51" s="58" t="s">
        <v>65</v>
      </c>
      <c r="E51" s="33">
        <v>220000</v>
      </c>
      <c r="F51" s="33"/>
      <c r="G51" s="33"/>
      <c r="H51" s="33">
        <f>E51+F51-G51</f>
        <v>220000</v>
      </c>
    </row>
    <row r="52" spans="1:8" ht="12.75">
      <c r="A52" s="42"/>
      <c r="B52" s="57"/>
      <c r="C52" s="17" t="s">
        <v>66</v>
      </c>
      <c r="D52" s="58" t="s">
        <v>67</v>
      </c>
      <c r="E52" s="33">
        <v>3000</v>
      </c>
      <c r="F52" s="33"/>
      <c r="G52" s="33"/>
      <c r="H52" s="33">
        <f>E52+F52-G52</f>
        <v>3000</v>
      </c>
    </row>
    <row r="53" spans="1:8" ht="12.75">
      <c r="A53" s="42"/>
      <c r="B53" s="57"/>
      <c r="C53" s="17" t="s">
        <v>68</v>
      </c>
      <c r="D53" s="58" t="s">
        <v>69</v>
      </c>
      <c r="E53" s="33">
        <v>8000</v>
      </c>
      <c r="F53" s="33"/>
      <c r="G53" s="33"/>
      <c r="H53" s="33">
        <f>E53+F53-G53</f>
        <v>8000</v>
      </c>
    </row>
    <row r="54" spans="1:8" ht="12.75">
      <c r="A54" s="42"/>
      <c r="B54" s="57"/>
      <c r="C54" s="17" t="s">
        <v>80</v>
      </c>
      <c r="D54" s="39" t="s">
        <v>81</v>
      </c>
      <c r="E54" s="33">
        <v>2500</v>
      </c>
      <c r="F54" s="33">
        <v>2100</v>
      </c>
      <c r="G54" s="33"/>
      <c r="H54" s="33">
        <f>E54+F54-G54</f>
        <v>4600</v>
      </c>
    </row>
    <row r="55" spans="1:8" ht="12.75">
      <c r="A55" s="42"/>
      <c r="B55" s="57"/>
      <c r="C55" s="17" t="s">
        <v>82</v>
      </c>
      <c r="D55" s="39" t="s">
        <v>83</v>
      </c>
      <c r="E55" s="33">
        <v>500</v>
      </c>
      <c r="F55" s="33"/>
      <c r="G55" s="33"/>
      <c r="H55" s="33">
        <f>E55+F55-G55</f>
        <v>500</v>
      </c>
    </row>
    <row r="56" spans="1:8" ht="12.75">
      <c r="A56" s="42"/>
      <c r="B56" s="57"/>
      <c r="C56" s="17" t="s">
        <v>84</v>
      </c>
      <c r="D56" s="39" t="s">
        <v>85</v>
      </c>
      <c r="E56" s="33">
        <v>500</v>
      </c>
      <c r="F56" s="33"/>
      <c r="G56" s="33"/>
      <c r="H56" s="33">
        <f>E56+F56-G56</f>
        <v>500</v>
      </c>
    </row>
    <row r="57" spans="1:8" ht="12.75">
      <c r="A57" s="42"/>
      <c r="B57" s="57"/>
      <c r="C57" s="17" t="s">
        <v>70</v>
      </c>
      <c r="D57" s="39" t="s">
        <v>71</v>
      </c>
      <c r="E57" s="33">
        <v>13500</v>
      </c>
      <c r="F57" s="33"/>
      <c r="G57" s="33"/>
      <c r="H57" s="33">
        <f>E57+F57-G57</f>
        <v>13500</v>
      </c>
    </row>
    <row r="58" spans="1:8" ht="12.75">
      <c r="A58" s="42"/>
      <c r="B58" s="57"/>
      <c r="C58" s="17" t="s">
        <v>86</v>
      </c>
      <c r="D58" s="39" t="s">
        <v>87</v>
      </c>
      <c r="E58" s="33">
        <v>500</v>
      </c>
      <c r="F58" s="33"/>
      <c r="G58" s="33"/>
      <c r="H58" s="33">
        <f>E58+F58-G58</f>
        <v>500</v>
      </c>
    </row>
    <row r="59" spans="1:8" ht="12.75">
      <c r="A59" s="42"/>
      <c r="B59" s="57"/>
      <c r="C59" s="17" t="s">
        <v>72</v>
      </c>
      <c r="D59" s="59" t="s">
        <v>73</v>
      </c>
      <c r="E59" s="33">
        <v>30000</v>
      </c>
      <c r="F59" s="33"/>
      <c r="G59" s="33"/>
      <c r="H59" s="33">
        <f>E59+F59-G59</f>
        <v>30000</v>
      </c>
    </row>
    <row r="60" spans="1:8" ht="12.75">
      <c r="A60" s="42"/>
      <c r="B60" s="57"/>
      <c r="C60" s="17" t="s">
        <v>74</v>
      </c>
      <c r="D60" s="59" t="s">
        <v>75</v>
      </c>
      <c r="E60" s="33">
        <v>5000</v>
      </c>
      <c r="F60" s="33"/>
      <c r="G60" s="33"/>
      <c r="H60" s="33">
        <f>E60+F60-G60</f>
        <v>5000</v>
      </c>
    </row>
    <row r="61" spans="1:8" ht="12.75">
      <c r="A61" s="42"/>
      <c r="B61" s="43"/>
      <c r="C61" s="17" t="s">
        <v>76</v>
      </c>
      <c r="D61" s="39" t="s">
        <v>77</v>
      </c>
      <c r="E61" s="33"/>
      <c r="F61" s="33">
        <v>5000</v>
      </c>
      <c r="G61" s="33"/>
      <c r="H61" s="33">
        <f>E61+F61-G61</f>
        <v>5000</v>
      </c>
    </row>
    <row r="62" spans="1:8" ht="13.5">
      <c r="A62" s="40"/>
      <c r="B62" s="62" t="s">
        <v>88</v>
      </c>
      <c r="C62" s="63" t="s">
        <v>89</v>
      </c>
      <c r="D62" s="63"/>
      <c r="E62" s="30">
        <f>SUM(E63:E63)</f>
        <v>10000</v>
      </c>
      <c r="F62" s="30">
        <f>SUM(F63:F63)</f>
        <v>0</v>
      </c>
      <c r="G62" s="30">
        <f>SUM(G63:G63)</f>
        <v>0</v>
      </c>
      <c r="H62" s="30">
        <f>SUM(H63:H63)</f>
        <v>10000</v>
      </c>
    </row>
    <row r="63" spans="1:8" ht="12.75">
      <c r="A63" s="42"/>
      <c r="B63" s="57"/>
      <c r="C63" s="17" t="s">
        <v>90</v>
      </c>
      <c r="D63" s="64" t="s">
        <v>89</v>
      </c>
      <c r="E63" s="33">
        <v>10000</v>
      </c>
      <c r="F63" s="33"/>
      <c r="G63" s="33"/>
      <c r="H63" s="33">
        <f>E63+F63-G63</f>
        <v>10000</v>
      </c>
    </row>
    <row r="64" spans="1:8" ht="13.5">
      <c r="A64" s="40"/>
      <c r="B64" s="41" t="s">
        <v>91</v>
      </c>
      <c r="C64" s="65" t="s">
        <v>92</v>
      </c>
      <c r="D64" s="65"/>
      <c r="E64" s="30">
        <f>SUM(E65:E66)</f>
        <v>617476</v>
      </c>
      <c r="F64" s="30">
        <f>SUM(F65:F66)</f>
        <v>5364</v>
      </c>
      <c r="G64" s="30">
        <f>SUM(G65:G66)</f>
        <v>0</v>
      </c>
      <c r="H64" s="30">
        <f>SUM(H65:H66)</f>
        <v>622840</v>
      </c>
    </row>
    <row r="65" spans="1:10" ht="12.75">
      <c r="A65" s="42"/>
      <c r="B65" s="57"/>
      <c r="C65" s="17" t="s">
        <v>93</v>
      </c>
      <c r="D65" s="64" t="s">
        <v>94</v>
      </c>
      <c r="E65" s="33">
        <f>600000+476+15000</f>
        <v>615476</v>
      </c>
      <c r="F65" s="33">
        <f>35+4240-911+2000</f>
        <v>5364</v>
      </c>
      <c r="G65" s="33"/>
      <c r="H65" s="33">
        <f>E65+F65-G65</f>
        <v>620840</v>
      </c>
      <c r="I65" s="26"/>
      <c r="J65" s="26"/>
    </row>
    <row r="66" spans="1:10" ht="12.75">
      <c r="A66" s="60"/>
      <c r="B66" s="43"/>
      <c r="C66" s="17" t="s">
        <v>95</v>
      </c>
      <c r="D66" s="64" t="s">
        <v>96</v>
      </c>
      <c r="E66" s="33">
        <v>2000</v>
      </c>
      <c r="F66" s="33"/>
      <c r="G66" s="33"/>
      <c r="H66" s="33">
        <f>E66+F66-G66</f>
        <v>2000</v>
      </c>
      <c r="I66" s="26"/>
      <c r="J66" s="26"/>
    </row>
    <row r="67" spans="1:10" ht="15">
      <c r="A67" s="10" t="s">
        <v>97</v>
      </c>
      <c r="B67" s="66" t="s">
        <v>98</v>
      </c>
      <c r="C67" s="66"/>
      <c r="D67" s="66"/>
      <c r="E67" s="12">
        <f>SUM(E68,E74,E70,E72)</f>
        <v>2438514</v>
      </c>
      <c r="F67" s="12">
        <f>SUM(F68,F74,F70,F72)</f>
        <v>10000</v>
      </c>
      <c r="G67" s="12">
        <f>SUM(G68,G74,G70,G72)</f>
        <v>0</v>
      </c>
      <c r="H67" s="12">
        <f>SUM(H68,H74,H70,H72)</f>
        <v>2448514</v>
      </c>
      <c r="I67" s="26"/>
      <c r="J67" s="26"/>
    </row>
    <row r="68" spans="1:10" ht="12.75">
      <c r="A68" s="67"/>
      <c r="B68" s="28" t="s">
        <v>99</v>
      </c>
      <c r="C68" s="29" t="s">
        <v>100</v>
      </c>
      <c r="D68" s="29"/>
      <c r="E68" s="30">
        <f>SUM(E69)</f>
        <v>1805461</v>
      </c>
      <c r="F68" s="30">
        <f>SUM(F69)</f>
        <v>0</v>
      </c>
      <c r="G68" s="30">
        <f>SUM(G69)</f>
        <v>0</v>
      </c>
      <c r="H68" s="30">
        <f>SUM(H69)</f>
        <v>1805461</v>
      </c>
      <c r="I68" s="26"/>
      <c r="J68" s="26"/>
    </row>
    <row r="69" spans="1:10" ht="12.75">
      <c r="A69" s="68"/>
      <c r="B69" s="38"/>
      <c r="C69" s="17" t="s">
        <v>101</v>
      </c>
      <c r="D69" s="64" t="s">
        <v>102</v>
      </c>
      <c r="E69" s="33">
        <v>1805461</v>
      </c>
      <c r="F69" s="33"/>
      <c r="G69" s="33"/>
      <c r="H69" s="33">
        <f>E69+F69-G69</f>
        <v>1805461</v>
      </c>
      <c r="I69" s="26"/>
      <c r="J69" s="26"/>
    </row>
    <row r="70" spans="1:10" ht="12.75">
      <c r="A70" s="68"/>
      <c r="B70" s="28" t="s">
        <v>103</v>
      </c>
      <c r="C70" s="29" t="s">
        <v>104</v>
      </c>
      <c r="D70" s="29"/>
      <c r="E70" s="30">
        <f>SUM(E71)</f>
        <v>586969</v>
      </c>
      <c r="F70" s="30">
        <f>SUM(F71)</f>
        <v>0</v>
      </c>
      <c r="G70" s="30">
        <f>SUM(G71)</f>
        <v>0</v>
      </c>
      <c r="H70" s="30">
        <f>SUM(H71)</f>
        <v>586969</v>
      </c>
      <c r="I70" s="26"/>
      <c r="J70" s="26"/>
    </row>
    <row r="71" spans="1:10" ht="12.75">
      <c r="A71" s="68"/>
      <c r="B71" s="38"/>
      <c r="C71" s="17" t="s">
        <v>101</v>
      </c>
      <c r="D71" s="64" t="s">
        <v>102</v>
      </c>
      <c r="E71" s="33">
        <v>586969</v>
      </c>
      <c r="F71" s="33"/>
      <c r="G71" s="33"/>
      <c r="H71" s="33">
        <f>E71+F71-G71</f>
        <v>586969</v>
      </c>
      <c r="I71" s="26"/>
      <c r="J71" s="26"/>
    </row>
    <row r="72" spans="1:10" ht="12.75">
      <c r="A72" s="68"/>
      <c r="B72" s="28" t="s">
        <v>105</v>
      </c>
      <c r="C72" s="29" t="s">
        <v>106</v>
      </c>
      <c r="D72" s="29"/>
      <c r="E72" s="30">
        <f>SUM(E73:E73)</f>
        <v>0</v>
      </c>
      <c r="F72" s="30">
        <f>SUM(F73:F73)</f>
        <v>10000</v>
      </c>
      <c r="G72" s="30">
        <f>SUM(G73:G73)</f>
        <v>0</v>
      </c>
      <c r="H72" s="30">
        <f>SUM(H73:H73)</f>
        <v>10000</v>
      </c>
      <c r="I72" s="26"/>
      <c r="J72" s="26"/>
    </row>
    <row r="73" spans="1:10" ht="12.75">
      <c r="A73" s="68"/>
      <c r="B73" s="32"/>
      <c r="C73" s="17" t="s">
        <v>107</v>
      </c>
      <c r="D73" s="64" t="s">
        <v>108</v>
      </c>
      <c r="E73" s="33"/>
      <c r="F73" s="33">
        <v>10000</v>
      </c>
      <c r="G73" s="33"/>
      <c r="H73" s="33">
        <f>E73+F73-G73</f>
        <v>10000</v>
      </c>
      <c r="I73"/>
      <c r="J73"/>
    </row>
    <row r="74" spans="1:10" ht="12.75">
      <c r="A74" s="67"/>
      <c r="B74" s="28" t="s">
        <v>109</v>
      </c>
      <c r="C74" s="29" t="s">
        <v>110</v>
      </c>
      <c r="D74" s="29"/>
      <c r="E74" s="30">
        <f>SUM(E75)</f>
        <v>46084</v>
      </c>
      <c r="F74" s="30">
        <f>SUM(F75)</f>
        <v>0</v>
      </c>
      <c r="G74" s="30">
        <f>SUM(G75)</f>
        <v>0</v>
      </c>
      <c r="H74" s="30">
        <f>SUM(H75)</f>
        <v>46084</v>
      </c>
      <c r="I74" s="26"/>
      <c r="J74" s="26"/>
    </row>
    <row r="75" spans="1:10" ht="12.75">
      <c r="A75" s="69"/>
      <c r="B75" s="32"/>
      <c r="C75" s="70">
        <v>2920</v>
      </c>
      <c r="D75" s="64" t="s">
        <v>102</v>
      </c>
      <c r="E75" s="33">
        <v>46084</v>
      </c>
      <c r="F75" s="33"/>
      <c r="G75" s="33"/>
      <c r="H75" s="33">
        <f>E75+F75-G75</f>
        <v>46084</v>
      </c>
      <c r="I75" s="26"/>
      <c r="J75" s="26"/>
    </row>
    <row r="76" spans="1:10" ht="15">
      <c r="A76" s="71">
        <v>801</v>
      </c>
      <c r="B76" s="72" t="s">
        <v>111</v>
      </c>
      <c r="C76" s="72"/>
      <c r="D76" s="72"/>
      <c r="E76" s="73">
        <f>SUM(E77)</f>
        <v>3010</v>
      </c>
      <c r="F76" s="73">
        <f>SUM(F77)</f>
        <v>0</v>
      </c>
      <c r="G76" s="73">
        <f>SUM(G77)</f>
        <v>0</v>
      </c>
      <c r="H76" s="73">
        <f>SUM(H77)</f>
        <v>3010</v>
      </c>
      <c r="I76" s="26"/>
      <c r="J76" s="26"/>
    </row>
    <row r="77" spans="1:10" ht="12.75">
      <c r="A77" s="68"/>
      <c r="B77" s="74">
        <v>80101</v>
      </c>
      <c r="C77" s="75" t="s">
        <v>112</v>
      </c>
      <c r="D77" s="75"/>
      <c r="E77" s="30">
        <f>SUM(E78)</f>
        <v>3010</v>
      </c>
      <c r="F77" s="30">
        <f>SUM(F78)</f>
        <v>0</v>
      </c>
      <c r="G77" s="30">
        <f>SUM(G78)</f>
        <v>0</v>
      </c>
      <c r="H77" s="30">
        <f>SUM(H78)</f>
        <v>3010</v>
      </c>
      <c r="I77" s="26"/>
      <c r="J77" s="26"/>
    </row>
    <row r="78" spans="1:10" ht="24.75">
      <c r="A78" s="68"/>
      <c r="B78" s="32"/>
      <c r="C78" s="76" t="s">
        <v>113</v>
      </c>
      <c r="D78" s="77" t="s">
        <v>114</v>
      </c>
      <c r="E78" s="33">
        <v>3010</v>
      </c>
      <c r="F78" s="33"/>
      <c r="G78" s="33"/>
      <c r="H78" s="33">
        <f>E78+F78-G78</f>
        <v>3010</v>
      </c>
      <c r="I78" s="26"/>
      <c r="J78" s="26"/>
    </row>
    <row r="79" spans="1:8" ht="15">
      <c r="A79" s="10" t="s">
        <v>115</v>
      </c>
      <c r="B79" s="66" t="s">
        <v>116</v>
      </c>
      <c r="C79" s="66"/>
      <c r="D79" s="66"/>
      <c r="E79" s="12">
        <f>SUM(E80)</f>
        <v>40000</v>
      </c>
      <c r="F79" s="12">
        <f>SUM(F80)</f>
        <v>0</v>
      </c>
      <c r="G79" s="12">
        <f>SUM(G80)</f>
        <v>0</v>
      </c>
      <c r="H79" s="12">
        <f>SUM(H80)</f>
        <v>40000</v>
      </c>
    </row>
    <row r="80" spans="1:8" ht="12.75">
      <c r="A80" s="67"/>
      <c r="B80" s="28" t="s">
        <v>117</v>
      </c>
      <c r="C80" s="29" t="s">
        <v>118</v>
      </c>
      <c r="D80" s="29"/>
      <c r="E80" s="30">
        <f>SUM(E81)</f>
        <v>40000</v>
      </c>
      <c r="F80" s="30">
        <f>SUM(F81)</f>
        <v>0</v>
      </c>
      <c r="G80" s="30">
        <f>SUM(G81)</f>
        <v>0</v>
      </c>
      <c r="H80" s="30">
        <f>SUM(H81)</f>
        <v>40000</v>
      </c>
    </row>
    <row r="81" spans="1:8" ht="12.75">
      <c r="A81" s="69"/>
      <c r="B81" s="32"/>
      <c r="C81" s="17" t="s">
        <v>119</v>
      </c>
      <c r="D81" s="64" t="s">
        <v>120</v>
      </c>
      <c r="E81" s="33">
        <v>40000</v>
      </c>
      <c r="F81" s="33"/>
      <c r="G81" s="33"/>
      <c r="H81" s="33">
        <f>E81+F81-G81</f>
        <v>40000</v>
      </c>
    </row>
    <row r="82" spans="1:8" ht="15">
      <c r="A82" s="10" t="s">
        <v>121</v>
      </c>
      <c r="B82" s="66" t="s">
        <v>122</v>
      </c>
      <c r="C82" s="66"/>
      <c r="D82" s="66"/>
      <c r="E82" s="12">
        <f>SUM(E83,E85,E87,E90,E94,E92)</f>
        <v>1679061</v>
      </c>
      <c r="F82" s="12">
        <f>SUM(F83,F85,F87,F90,F94,F92)</f>
        <v>26951</v>
      </c>
      <c r="G82" s="12">
        <f>SUM(G83,G85,G87,G90,G94,G92)</f>
        <v>0</v>
      </c>
      <c r="H82" s="12">
        <f>SUM(H83,H85,H87,H90,H94,H92)</f>
        <v>1706012</v>
      </c>
    </row>
    <row r="83" spans="1:8" ht="24.75">
      <c r="A83" s="36"/>
      <c r="B83" s="28" t="s">
        <v>123</v>
      </c>
      <c r="C83" s="35" t="s">
        <v>124</v>
      </c>
      <c r="D83" s="35"/>
      <c r="E83" s="30">
        <f>SUM(E84:E84)</f>
        <v>1177412</v>
      </c>
      <c r="F83" s="30">
        <f>SUM(F84:F84)</f>
        <v>0</v>
      </c>
      <c r="G83" s="30">
        <f>SUM(G84:G84)</f>
        <v>0</v>
      </c>
      <c r="H83" s="30">
        <f>SUM(H84:H84)</f>
        <v>1177412</v>
      </c>
    </row>
    <row r="84" spans="1:8" ht="24.75">
      <c r="A84" s="36"/>
      <c r="B84" s="38"/>
      <c r="C84" s="70">
        <v>2010</v>
      </c>
      <c r="D84" s="18" t="s">
        <v>18</v>
      </c>
      <c r="E84" s="33">
        <v>1177412</v>
      </c>
      <c r="F84" s="33"/>
      <c r="G84" s="33"/>
      <c r="H84" s="33">
        <f>E84+F84-G84</f>
        <v>1177412</v>
      </c>
    </row>
    <row r="85" spans="1:8" ht="24.75">
      <c r="A85" s="36"/>
      <c r="B85" s="41" t="s">
        <v>125</v>
      </c>
      <c r="C85" s="78" t="s">
        <v>126</v>
      </c>
      <c r="D85" s="78"/>
      <c r="E85" s="30">
        <f>SUM(E86)</f>
        <v>5500</v>
      </c>
      <c r="F85" s="30">
        <f>SUM(F86)</f>
        <v>0</v>
      </c>
      <c r="G85" s="30">
        <f>SUM(G86)</f>
        <v>0</v>
      </c>
      <c r="H85" s="30">
        <f>SUM(H86)</f>
        <v>5500</v>
      </c>
    </row>
    <row r="86" spans="1:8" ht="24.75">
      <c r="A86" s="36"/>
      <c r="B86" s="79"/>
      <c r="C86" s="17" t="s">
        <v>17</v>
      </c>
      <c r="D86" s="18" t="s">
        <v>18</v>
      </c>
      <c r="E86" s="33">
        <v>5500</v>
      </c>
      <c r="F86" s="33"/>
      <c r="G86" s="33"/>
      <c r="H86" s="33">
        <f>E86+F86-G86</f>
        <v>5500</v>
      </c>
    </row>
    <row r="87" spans="1:8" ht="12.75">
      <c r="A87" s="67"/>
      <c r="B87" s="28" t="s">
        <v>127</v>
      </c>
      <c r="C87" s="65" t="s">
        <v>128</v>
      </c>
      <c r="D87" s="65"/>
      <c r="E87" s="30">
        <f>SUM(E88:E89)</f>
        <v>282000</v>
      </c>
      <c r="F87" s="30">
        <f>SUM(F88:F89)</f>
        <v>0</v>
      </c>
      <c r="G87" s="30">
        <f>SUM(G88:G89)</f>
        <v>0</v>
      </c>
      <c r="H87" s="30">
        <f>SUM(H88:H89)</f>
        <v>282000</v>
      </c>
    </row>
    <row r="88" spans="1:8" ht="24.75">
      <c r="A88" s="68"/>
      <c r="B88" s="38"/>
      <c r="C88" s="17" t="s">
        <v>17</v>
      </c>
      <c r="D88" s="18" t="s">
        <v>18</v>
      </c>
      <c r="E88" s="33">
        <v>66000</v>
      </c>
      <c r="F88" s="33"/>
      <c r="G88" s="33"/>
      <c r="H88" s="33">
        <f>E88+F88-G88</f>
        <v>66000</v>
      </c>
    </row>
    <row r="89" spans="1:8" ht="24.75">
      <c r="A89" s="68"/>
      <c r="B89" s="32"/>
      <c r="C89" s="76" t="s">
        <v>113</v>
      </c>
      <c r="D89" s="77" t="s">
        <v>114</v>
      </c>
      <c r="E89" s="33">
        <v>216000</v>
      </c>
      <c r="F89" s="33"/>
      <c r="G89" s="33"/>
      <c r="H89" s="33">
        <f>E89+F89-G89</f>
        <v>216000</v>
      </c>
    </row>
    <row r="90" spans="1:8" ht="12.75">
      <c r="A90" s="67"/>
      <c r="B90" s="28" t="s">
        <v>129</v>
      </c>
      <c r="C90" s="29" t="s">
        <v>130</v>
      </c>
      <c r="D90" s="29"/>
      <c r="E90" s="30">
        <f>SUM(E91:E91)</f>
        <v>50712</v>
      </c>
      <c r="F90" s="30">
        <f>SUM(F91:F91)</f>
        <v>750</v>
      </c>
      <c r="G90" s="30">
        <f>SUM(G91:G91)</f>
        <v>0</v>
      </c>
      <c r="H90" s="30">
        <f>SUM(H91:H91)</f>
        <v>51462</v>
      </c>
    </row>
    <row r="91" spans="1:8" ht="24.75">
      <c r="A91" s="67"/>
      <c r="B91" s="32"/>
      <c r="C91" s="76" t="s">
        <v>113</v>
      </c>
      <c r="D91" s="77" t="s">
        <v>114</v>
      </c>
      <c r="E91" s="33">
        <v>50712</v>
      </c>
      <c r="F91" s="33">
        <v>750</v>
      </c>
      <c r="G91" s="33"/>
      <c r="H91" s="33">
        <f>E91+F91-G91</f>
        <v>51462</v>
      </c>
    </row>
    <row r="92" spans="1:8" ht="12.75">
      <c r="A92" s="67"/>
      <c r="B92" s="28" t="s">
        <v>131</v>
      </c>
      <c r="C92" s="29" t="s">
        <v>132</v>
      </c>
      <c r="D92" s="29"/>
      <c r="E92" s="30">
        <f>SUM(E93:E93)</f>
        <v>135508</v>
      </c>
      <c r="F92" s="30">
        <f>SUM(F93:F93)</f>
        <v>0</v>
      </c>
      <c r="G92" s="30">
        <f>SUM(G93:G93)</f>
        <v>0</v>
      </c>
      <c r="H92" s="30">
        <f>SUM(H93:H93)</f>
        <v>135508</v>
      </c>
    </row>
    <row r="93" spans="1:8" ht="24.75">
      <c r="A93" s="67"/>
      <c r="B93" s="32"/>
      <c r="C93" s="17" t="s">
        <v>17</v>
      </c>
      <c r="D93" s="18" t="s">
        <v>18</v>
      </c>
      <c r="E93" s="80">
        <v>135508</v>
      </c>
      <c r="F93" s="33"/>
      <c r="G93" s="33"/>
      <c r="H93" s="33">
        <f>E93+F93-G93</f>
        <v>135508</v>
      </c>
    </row>
    <row r="94" spans="1:8" ht="12.75">
      <c r="A94" s="67"/>
      <c r="B94" s="81">
        <v>85295</v>
      </c>
      <c r="C94" s="29" t="s">
        <v>16</v>
      </c>
      <c r="D94" s="29"/>
      <c r="E94" s="82">
        <f>SUM(E95:E95)</f>
        <v>27929</v>
      </c>
      <c r="F94" s="82">
        <f>SUM(F95:F95)</f>
        <v>26201</v>
      </c>
      <c r="G94" s="82">
        <f>SUM(G95:G95)</f>
        <v>0</v>
      </c>
      <c r="H94" s="82">
        <f>SUM(H95:H95)</f>
        <v>54130</v>
      </c>
    </row>
    <row r="95" spans="1:8" ht="24.75">
      <c r="A95" s="67"/>
      <c r="B95" s="83"/>
      <c r="C95" s="76" t="s">
        <v>113</v>
      </c>
      <c r="D95" s="77" t="s">
        <v>114</v>
      </c>
      <c r="E95" s="33">
        <v>27929</v>
      </c>
      <c r="F95" s="33">
        <f>54130-27929</f>
        <v>26201</v>
      </c>
      <c r="G95" s="33"/>
      <c r="H95" s="33">
        <f>E95+F95-G95</f>
        <v>54130</v>
      </c>
    </row>
    <row r="96" spans="1:8" ht="15">
      <c r="A96" s="46">
        <v>854</v>
      </c>
      <c r="B96" s="25" t="s">
        <v>133</v>
      </c>
      <c r="C96" s="25"/>
      <c r="D96" s="25"/>
      <c r="E96" s="12">
        <f>SUM(E97)</f>
        <v>49115</v>
      </c>
      <c r="F96" s="12">
        <f>SUM(F97)</f>
        <v>0</v>
      </c>
      <c r="G96" s="12">
        <f>SUM(G97)</f>
        <v>0</v>
      </c>
      <c r="H96" s="12">
        <f>SUM(H97)</f>
        <v>49115</v>
      </c>
    </row>
    <row r="97" spans="1:8" ht="12.75">
      <c r="A97" s="67"/>
      <c r="B97" s="48">
        <v>85415</v>
      </c>
      <c r="C97" s="49" t="s">
        <v>134</v>
      </c>
      <c r="D97" s="49"/>
      <c r="E97" s="15">
        <f>SUM(E98)</f>
        <v>49115</v>
      </c>
      <c r="F97" s="15">
        <f>SUM(F98)</f>
        <v>0</v>
      </c>
      <c r="G97" s="15">
        <f>SUM(G98)</f>
        <v>0</v>
      </c>
      <c r="H97" s="15">
        <f>SUM(H98)</f>
        <v>49115</v>
      </c>
    </row>
    <row r="98" spans="1:8" ht="24.75">
      <c r="A98" s="67"/>
      <c r="B98" s="52"/>
      <c r="C98" s="76" t="s">
        <v>113</v>
      </c>
      <c r="D98" s="77" t="s">
        <v>114</v>
      </c>
      <c r="E98" s="19">
        <v>49115</v>
      </c>
      <c r="F98" s="33"/>
      <c r="G98" s="33"/>
      <c r="H98" s="33">
        <f>E98+F98-G98</f>
        <v>49115</v>
      </c>
    </row>
    <row r="99" spans="1:8" ht="15">
      <c r="A99" s="84" t="s">
        <v>135</v>
      </c>
      <c r="B99" s="66" t="s">
        <v>136</v>
      </c>
      <c r="C99" s="66"/>
      <c r="D99" s="66"/>
      <c r="E99" s="12">
        <f>SUM(E100)</f>
        <v>130000</v>
      </c>
      <c r="F99" s="12">
        <f>SUM(F100)</f>
        <v>400</v>
      </c>
      <c r="G99" s="12">
        <f>SUM(G100)</f>
        <v>0</v>
      </c>
      <c r="H99" s="12">
        <f>SUM(H100)</f>
        <v>130400</v>
      </c>
    </row>
    <row r="100" spans="1:8" ht="12.75">
      <c r="A100" s="85"/>
      <c r="B100" s="28" t="s">
        <v>137</v>
      </c>
      <c r="C100" s="29" t="s">
        <v>138</v>
      </c>
      <c r="D100" s="29"/>
      <c r="E100" s="30">
        <f>SUM(E101:E103)</f>
        <v>130000</v>
      </c>
      <c r="F100" s="30">
        <f>SUM(F101:F103)</f>
        <v>400</v>
      </c>
      <c r="G100" s="30">
        <f>SUM(G101:G103)</f>
        <v>0</v>
      </c>
      <c r="H100" s="30">
        <f>SUM(H101:H103)</f>
        <v>130400</v>
      </c>
    </row>
    <row r="101" spans="1:8" ht="12.75">
      <c r="A101" s="85"/>
      <c r="B101" s="36"/>
      <c r="C101" s="17" t="s">
        <v>139</v>
      </c>
      <c r="D101" s="64" t="s">
        <v>140</v>
      </c>
      <c r="E101" s="33">
        <v>120000</v>
      </c>
      <c r="F101" s="33"/>
      <c r="G101" s="33"/>
      <c r="H101" s="33">
        <f>E101+F101-G101</f>
        <v>120000</v>
      </c>
    </row>
    <row r="102" spans="1:8" ht="12.75">
      <c r="A102" s="85"/>
      <c r="B102" s="36"/>
      <c r="C102" s="17" t="s">
        <v>76</v>
      </c>
      <c r="D102" s="39" t="s">
        <v>77</v>
      </c>
      <c r="E102" s="33"/>
      <c r="F102" s="33">
        <v>400</v>
      </c>
      <c r="G102" s="33"/>
      <c r="H102" s="33">
        <f>E102+F102-G102</f>
        <v>400</v>
      </c>
    </row>
    <row r="103" spans="1:8" ht="12.75">
      <c r="A103" s="85"/>
      <c r="B103" s="86"/>
      <c r="C103" s="87" t="s">
        <v>107</v>
      </c>
      <c r="D103" s="18" t="s">
        <v>108</v>
      </c>
      <c r="E103" s="33">
        <v>10000</v>
      </c>
      <c r="F103" s="33"/>
      <c r="G103" s="33"/>
      <c r="H103" s="33">
        <f>E103+F103-G103</f>
        <v>10000</v>
      </c>
    </row>
    <row r="104" spans="1:10" ht="17.25">
      <c r="A104" s="88" t="s">
        <v>141</v>
      </c>
      <c r="B104" s="88"/>
      <c r="C104" s="88"/>
      <c r="D104" s="88"/>
      <c r="E104" s="89">
        <f>SUM(E99,E82,E79,E67,E37,E32,E29,E26,E18,E15,E10,E23,E76,E96)</f>
        <v>7114766</v>
      </c>
      <c r="F104" s="89">
        <f>SUM(F99,F82,F79,F67,F37,F32,F29,F26,F18,F15,F10,F23,F76,F96)</f>
        <v>162458.54</v>
      </c>
      <c r="G104" s="89">
        <f>SUM(G99,G82,G79,G67,G37,G32,G29,G26,G18,G15,G10,G23,G76,G96)</f>
        <v>0</v>
      </c>
      <c r="H104" s="89">
        <f>SUM(H99,H82,H79,H67,H37,H32,H29,H26,H18,H15,H10,H23,H76,H96)</f>
        <v>7277224.54</v>
      </c>
      <c r="J104"/>
    </row>
    <row r="105" ht="12.75">
      <c r="H105" s="26"/>
    </row>
  </sheetData>
  <mergeCells count="50">
    <mergeCell ref="A5:E5"/>
    <mergeCell ref="A7:C7"/>
    <mergeCell ref="D7:D8"/>
    <mergeCell ref="E7:E8"/>
    <mergeCell ref="F7:F8"/>
    <mergeCell ref="G7:G8"/>
    <mergeCell ref="H7:H8"/>
    <mergeCell ref="B10:D10"/>
    <mergeCell ref="C11:D11"/>
    <mergeCell ref="C13:D13"/>
    <mergeCell ref="B15:D15"/>
    <mergeCell ref="C16:D16"/>
    <mergeCell ref="B18:D18"/>
    <mergeCell ref="C19:D19"/>
    <mergeCell ref="B23:D23"/>
    <mergeCell ref="C24:D24"/>
    <mergeCell ref="B26:D26"/>
    <mergeCell ref="C27:D27"/>
    <mergeCell ref="B29:D29"/>
    <mergeCell ref="C30:D30"/>
    <mergeCell ref="B32:D32"/>
    <mergeCell ref="C33:D33"/>
    <mergeCell ref="C35:D35"/>
    <mergeCell ref="B37:D37"/>
    <mergeCell ref="C38:D38"/>
    <mergeCell ref="C40:D40"/>
    <mergeCell ref="C49:D49"/>
    <mergeCell ref="C62:D62"/>
    <mergeCell ref="C64:D64"/>
    <mergeCell ref="B67:D67"/>
    <mergeCell ref="C68:D68"/>
    <mergeCell ref="C70:D70"/>
    <mergeCell ref="C72:D72"/>
    <mergeCell ref="C74:D74"/>
    <mergeCell ref="B76:D76"/>
    <mergeCell ref="C77:D77"/>
    <mergeCell ref="B79:D79"/>
    <mergeCell ref="C80:D80"/>
    <mergeCell ref="B82:D82"/>
    <mergeCell ref="C83:D83"/>
    <mergeCell ref="C85:D85"/>
    <mergeCell ref="C87:D87"/>
    <mergeCell ref="C90:D90"/>
    <mergeCell ref="C92:D92"/>
    <mergeCell ref="C94:D94"/>
    <mergeCell ref="B96:D96"/>
    <mergeCell ref="C97:D97"/>
    <mergeCell ref="B99:D99"/>
    <mergeCell ref="C100:D100"/>
    <mergeCell ref="A104:D104"/>
  </mergeCells>
  <printOptions horizontalCentered="1"/>
  <pageMargins left="0.7875" right="0.39375" top="0.7875" bottom="0.2361111111111111" header="0.5118055555555555" footer="0.5118055555555555"/>
  <pageSetup horizontalDpi="300" verticalDpi="300" orientation="landscape" paperSize="9" scale="79"/>
  <rowBreaks count="2" manualBreakCount="2">
    <brk id="36" max="255" man="1"/>
    <brk id="75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85" zoomScaleNormal="85" zoomScaleSheetLayoutView="55" workbookViewId="0" topLeftCell="A1">
      <selection activeCell="C11" sqref="C11"/>
    </sheetView>
  </sheetViews>
  <sheetFormatPr defaultColWidth="9.00390625" defaultRowHeight="12.75"/>
  <cols>
    <col min="1" max="1" width="5.50390625" style="274" customWidth="1"/>
    <col min="2" max="2" width="41.375" style="417" customWidth="1"/>
    <col min="3" max="3" width="12.25390625" style="2" customWidth="1"/>
    <col min="4" max="7" width="10.75390625" style="2" customWidth="1"/>
    <col min="8" max="254" width="9.00390625" style="2" customWidth="1"/>
  </cols>
  <sheetData>
    <row r="1" spans="1:6" ht="11.25" customHeight="1">
      <c r="A1" s="418"/>
      <c r="B1" s="418"/>
      <c r="C1"/>
      <c r="D1" s="273"/>
      <c r="E1" s="273" t="s">
        <v>395</v>
      </c>
      <c r="F1" s="273"/>
    </row>
    <row r="2" spans="1:6" ht="11.25" customHeight="1">
      <c r="A2" s="418"/>
      <c r="B2" s="418"/>
      <c r="C2"/>
      <c r="D2" s="273"/>
      <c r="E2" s="273" t="s">
        <v>1</v>
      </c>
      <c r="F2" s="273"/>
    </row>
    <row r="3" spans="1:6" ht="11.25" customHeight="1">
      <c r="A3" s="418"/>
      <c r="B3" s="418"/>
      <c r="C3"/>
      <c r="D3" s="273"/>
      <c r="E3" s="3" t="s">
        <v>2</v>
      </c>
      <c r="F3" s="273"/>
    </row>
    <row r="4" spans="1:6" ht="11.25" customHeight="1">
      <c r="A4" s="418"/>
      <c r="B4" s="418"/>
      <c r="C4"/>
      <c r="D4" s="273"/>
      <c r="E4" s="273"/>
      <c r="F4" s="273"/>
    </row>
    <row r="5" spans="1:6" ht="24.75" customHeight="1">
      <c r="A5" s="419" t="s">
        <v>396</v>
      </c>
      <c r="B5" s="419"/>
      <c r="C5" s="419"/>
      <c r="D5" s="419"/>
      <c r="E5" s="419"/>
      <c r="F5" s="419"/>
    </row>
    <row r="6" ht="12.75">
      <c r="F6" s="2" t="s">
        <v>360</v>
      </c>
    </row>
    <row r="7" spans="1:7" ht="33.75" customHeight="1">
      <c r="A7" s="6" t="s">
        <v>375</v>
      </c>
      <c r="B7" s="183" t="s">
        <v>397</v>
      </c>
      <c r="C7" s="7" t="s">
        <v>6</v>
      </c>
      <c r="D7" s="6" t="s">
        <v>398</v>
      </c>
      <c r="E7" s="6"/>
      <c r="F7" s="6"/>
      <c r="G7" s="6"/>
    </row>
    <row r="8" spans="1:7" ht="12.75">
      <c r="A8" s="6"/>
      <c r="B8" s="183"/>
      <c r="C8" s="7"/>
      <c r="D8" s="6">
        <v>2008</v>
      </c>
      <c r="E8" s="6">
        <v>2009</v>
      </c>
      <c r="F8" s="6">
        <v>2010</v>
      </c>
      <c r="G8" s="6">
        <v>2011</v>
      </c>
    </row>
    <row r="9" spans="1:7" ht="16.5" customHeight="1">
      <c r="A9" s="420" t="s">
        <v>399</v>
      </c>
      <c r="B9" s="421" t="s">
        <v>400</v>
      </c>
      <c r="C9" s="422">
        <f>C10+C14+C15+C16+C17</f>
        <v>7277224.54</v>
      </c>
      <c r="D9" s="423">
        <f>D10+D14+D15+D16</f>
        <v>6650000</v>
      </c>
      <c r="E9" s="423">
        <f>E10+E14+E15+E16</f>
        <v>6900000</v>
      </c>
      <c r="F9" s="423">
        <f>F10+F14+F15+F16</f>
        <v>7150000</v>
      </c>
      <c r="G9" s="423">
        <f>G10+G14+G15+G16</f>
        <v>7400000</v>
      </c>
    </row>
    <row r="10" spans="1:7" ht="15.75" customHeight="1">
      <c r="A10" s="6" t="s">
        <v>401</v>
      </c>
      <c r="B10" s="424" t="s">
        <v>402</v>
      </c>
      <c r="C10" s="425">
        <f>1a!E22</f>
        <v>2550900</v>
      </c>
      <c r="D10" s="426">
        <f>SUM(D11:D13)</f>
        <v>2500000</v>
      </c>
      <c r="E10" s="426">
        <f>SUM(E11:E13)</f>
        <v>2600000</v>
      </c>
      <c r="F10" s="426">
        <f>SUM(F11:F13)</f>
        <v>2700000</v>
      </c>
      <c r="G10" s="426">
        <f>SUM(G11:G13)</f>
        <v>2800000</v>
      </c>
    </row>
    <row r="11" spans="1:7" ht="15.75" customHeight="1">
      <c r="A11" s="6">
        <v>1</v>
      </c>
      <c r="B11" s="424" t="s">
        <v>403</v>
      </c>
      <c r="C11" s="425">
        <f>1a!E9-1a!E16+1a!E21-1a!E15</f>
        <v>1619060</v>
      </c>
      <c r="D11" s="426">
        <v>1650000</v>
      </c>
      <c r="E11" s="426">
        <f>D11+50000</f>
        <v>1700000</v>
      </c>
      <c r="F11" s="426">
        <f>E11+50000</f>
        <v>1750000</v>
      </c>
      <c r="G11" s="426">
        <f>F11+50000</f>
        <v>1800000</v>
      </c>
    </row>
    <row r="12" spans="1:7" ht="15.75" customHeight="1">
      <c r="A12" s="6">
        <v>2</v>
      </c>
      <c r="B12" s="424" t="s">
        <v>404</v>
      </c>
      <c r="C12" s="425">
        <f>1a!B17</f>
        <v>249000</v>
      </c>
      <c r="D12" s="426">
        <v>200000</v>
      </c>
      <c r="E12" s="426">
        <v>200000</v>
      </c>
      <c r="F12" s="426">
        <v>200000</v>
      </c>
      <c r="G12" s="426">
        <v>200000</v>
      </c>
    </row>
    <row r="13" spans="1:7" ht="24.75">
      <c r="A13" s="6">
        <v>3</v>
      </c>
      <c r="B13" s="424" t="s">
        <v>405</v>
      </c>
      <c r="C13" s="20">
        <f>1a!B16+1a!B15</f>
        <v>617476</v>
      </c>
      <c r="D13" s="427">
        <v>650000</v>
      </c>
      <c r="E13" s="427">
        <f>D13+50000</f>
        <v>700000</v>
      </c>
      <c r="F13" s="427">
        <f>E13+50000</f>
        <v>750000</v>
      </c>
      <c r="G13" s="427">
        <f>F13+50000</f>
        <v>800000</v>
      </c>
    </row>
    <row r="14" spans="1:7" ht="15.75" customHeight="1">
      <c r="A14" s="6" t="s">
        <v>406</v>
      </c>
      <c r="B14" s="424" t="s">
        <v>407</v>
      </c>
      <c r="C14" s="425">
        <f>1a!E23</f>
        <v>2438514</v>
      </c>
      <c r="D14" s="426">
        <v>2400000</v>
      </c>
      <c r="E14" s="426">
        <f>D14+50000</f>
        <v>2450000</v>
      </c>
      <c r="F14" s="426">
        <f>E14+50000</f>
        <v>2500000</v>
      </c>
      <c r="G14" s="426">
        <f>F14+50000</f>
        <v>2550000</v>
      </c>
    </row>
    <row r="15" spans="1:7" ht="15.75" customHeight="1">
      <c r="A15" s="6" t="s">
        <v>408</v>
      </c>
      <c r="B15" s="424" t="s">
        <v>409</v>
      </c>
      <c r="C15" s="425">
        <f>1a!E26</f>
        <v>1450123.54</v>
      </c>
      <c r="D15" s="426">
        <v>1500000</v>
      </c>
      <c r="E15" s="426">
        <f>D15+50000</f>
        <v>1550000</v>
      </c>
      <c r="F15" s="426">
        <f>E15+50000</f>
        <v>1600000</v>
      </c>
      <c r="G15" s="426">
        <f>F15+50000</f>
        <v>1650000</v>
      </c>
    </row>
    <row r="16" spans="1:7" ht="15.75" customHeight="1">
      <c r="A16" s="6" t="s">
        <v>410</v>
      </c>
      <c r="B16" s="424" t="s">
        <v>411</v>
      </c>
      <c r="C16" s="425">
        <f>1a!E25+1a!E27</f>
        <v>390717</v>
      </c>
      <c r="D16" s="426">
        <v>250000</v>
      </c>
      <c r="E16" s="426">
        <f>D16+50000</f>
        <v>300000</v>
      </c>
      <c r="F16" s="426">
        <f>E16+50000</f>
        <v>350000</v>
      </c>
      <c r="G16" s="426">
        <f>F16+50000</f>
        <v>400000</v>
      </c>
    </row>
    <row r="17" spans="1:7" ht="15.75" customHeight="1">
      <c r="A17" s="6" t="s">
        <v>412</v>
      </c>
      <c r="B17" s="424" t="s">
        <v>413</v>
      </c>
      <c r="C17" s="425">
        <f>1a!E30</f>
        <v>446970</v>
      </c>
      <c r="D17" s="426"/>
      <c r="E17" s="426"/>
      <c r="F17" s="426"/>
      <c r="G17" s="426"/>
    </row>
    <row r="18" spans="1:7" ht="16.5" customHeight="1">
      <c r="A18" s="420" t="s">
        <v>414</v>
      </c>
      <c r="B18" s="421" t="s">
        <v>415</v>
      </c>
      <c r="C18" s="422">
        <f>2!H263</f>
        <v>6966160.54</v>
      </c>
      <c r="D18" s="423">
        <f>D9-D21-D25</f>
        <v>6454000</v>
      </c>
      <c r="E18" s="423">
        <f>E9-E21-E25</f>
        <v>6704000</v>
      </c>
      <c r="F18" s="423">
        <f>F9-F21-F25</f>
        <v>7054000</v>
      </c>
      <c r="G18" s="423">
        <f>G9-G21-G25</f>
        <v>7352000</v>
      </c>
    </row>
    <row r="19" spans="1:7" ht="16.5" customHeight="1">
      <c r="A19" s="420" t="s">
        <v>416</v>
      </c>
      <c r="B19" s="421" t="s">
        <v>417</v>
      </c>
      <c r="C19" s="422">
        <f>C20+C24+C28+C29</f>
        <v>626418</v>
      </c>
      <c r="D19" s="423">
        <f>D20+D24+D28+D29</f>
        <v>211000</v>
      </c>
      <c r="E19" s="423">
        <f>E20+E24+E28+E29</f>
        <v>206000</v>
      </c>
      <c r="F19" s="423">
        <f>F20+F24+F28+F29</f>
        <v>101000</v>
      </c>
      <c r="G19" s="423">
        <f>G20+G24+G28+G29</f>
        <v>50000</v>
      </c>
    </row>
    <row r="20" spans="1:7" ht="24.75">
      <c r="A20" s="6" t="s">
        <v>401</v>
      </c>
      <c r="B20" s="424" t="s">
        <v>418</v>
      </c>
      <c r="C20" s="428">
        <f>C21+C23</f>
        <v>626418</v>
      </c>
      <c r="D20" s="429">
        <f>D21+D23</f>
        <v>211000</v>
      </c>
      <c r="E20" s="429">
        <f>E21+E23</f>
        <v>206000</v>
      </c>
      <c r="F20" s="429">
        <f>F21+F23</f>
        <v>101000</v>
      </c>
      <c r="G20" s="429">
        <f>G21+G23</f>
        <v>50000</v>
      </c>
    </row>
    <row r="21" spans="1:7" ht="15.75" customHeight="1">
      <c r="A21" s="6">
        <v>1</v>
      </c>
      <c r="B21" s="424" t="s">
        <v>419</v>
      </c>
      <c r="C21" s="425">
        <f>120000+39448+C22</f>
        <v>606418</v>
      </c>
      <c r="D21" s="426">
        <f>100000+96000</f>
        <v>196000</v>
      </c>
      <c r="E21" s="426">
        <f>100000+96000</f>
        <v>196000</v>
      </c>
      <c r="F21" s="426">
        <f>96000</f>
        <v>96000</v>
      </c>
      <c r="G21" s="426">
        <v>48000</v>
      </c>
    </row>
    <row r="22" spans="1:7" ht="48.75">
      <c r="A22" s="6">
        <v>2</v>
      </c>
      <c r="B22" s="424" t="s">
        <v>420</v>
      </c>
      <c r="C22" s="425">
        <v>446970</v>
      </c>
      <c r="D22" s="426"/>
      <c r="E22" s="426"/>
      <c r="F22" s="426"/>
      <c r="G22" s="426"/>
    </row>
    <row r="23" spans="1:7" ht="15" customHeight="1">
      <c r="A23" s="6">
        <v>3</v>
      </c>
      <c r="B23" s="424" t="s">
        <v>421</v>
      </c>
      <c r="C23" s="425">
        <f>2!H101</f>
        <v>20000</v>
      </c>
      <c r="D23" s="426">
        <v>15000</v>
      </c>
      <c r="E23" s="426">
        <v>10000</v>
      </c>
      <c r="F23" s="426">
        <v>5000</v>
      </c>
      <c r="G23" s="426">
        <v>2000</v>
      </c>
    </row>
    <row r="24" spans="1:7" ht="24.75">
      <c r="A24" s="6" t="s">
        <v>406</v>
      </c>
      <c r="B24" s="424" t="s">
        <v>422</v>
      </c>
      <c r="C24" s="428">
        <f>C25+C26+C27</f>
        <v>0</v>
      </c>
      <c r="D24" s="429">
        <f>D25+D27</f>
        <v>0</v>
      </c>
      <c r="E24" s="429">
        <f>E25+E27</f>
        <v>0</v>
      </c>
      <c r="F24" s="429">
        <f>F25+F27</f>
        <v>0</v>
      </c>
      <c r="G24" s="429">
        <f>G25+G27</f>
        <v>0</v>
      </c>
    </row>
    <row r="25" spans="1:7" ht="15.75" customHeight="1">
      <c r="A25" s="6">
        <v>1</v>
      </c>
      <c r="B25" s="424" t="s">
        <v>419</v>
      </c>
      <c r="C25" s="425"/>
      <c r="D25" s="426"/>
      <c r="E25" s="426"/>
      <c r="F25" s="426"/>
      <c r="G25" s="426"/>
    </row>
    <row r="26" spans="1:7" ht="48.75">
      <c r="A26" s="6">
        <v>2</v>
      </c>
      <c r="B26" s="424" t="s">
        <v>420</v>
      </c>
      <c r="C26" s="425"/>
      <c r="D26" s="426"/>
      <c r="E26" s="426"/>
      <c r="F26" s="426"/>
      <c r="G26" s="426"/>
    </row>
    <row r="27" spans="1:7" ht="15.75" customHeight="1">
      <c r="A27" s="6">
        <v>3</v>
      </c>
      <c r="B27" s="424" t="s">
        <v>421</v>
      </c>
      <c r="C27" s="425"/>
      <c r="D27" s="426"/>
      <c r="E27" s="426"/>
      <c r="F27" s="426"/>
      <c r="G27" s="426"/>
    </row>
    <row r="28" spans="1:7" ht="15.75" customHeight="1">
      <c r="A28" s="6" t="s">
        <v>408</v>
      </c>
      <c r="B28" s="424" t="s">
        <v>423</v>
      </c>
      <c r="C28" s="425"/>
      <c r="D28" s="426"/>
      <c r="E28" s="426"/>
      <c r="F28" s="426"/>
      <c r="G28" s="426"/>
    </row>
    <row r="29" spans="1:7" ht="24.75">
      <c r="A29" s="6" t="s">
        <v>410</v>
      </c>
      <c r="B29" s="424" t="s">
        <v>424</v>
      </c>
      <c r="C29" s="425"/>
      <c r="D29" s="426"/>
      <c r="E29" s="426"/>
      <c r="F29" s="426"/>
      <c r="G29" s="426"/>
    </row>
    <row r="30" spans="1:7" ht="16.5" customHeight="1">
      <c r="A30" s="420" t="s">
        <v>425</v>
      </c>
      <c r="B30" s="421" t="s">
        <v>426</v>
      </c>
      <c r="C30" s="422">
        <f>C9-C18</f>
        <v>311064</v>
      </c>
      <c r="D30" s="423">
        <f>D9-D18</f>
        <v>196000</v>
      </c>
      <c r="E30" s="423">
        <f>E9-E18</f>
        <v>196000</v>
      </c>
      <c r="F30" s="423">
        <f>F9-F18</f>
        <v>96000</v>
      </c>
      <c r="G30" s="423">
        <f>G9-G18</f>
        <v>48000</v>
      </c>
    </row>
    <row r="31" spans="1:7" ht="16.5" customHeight="1">
      <c r="A31" s="420" t="s">
        <v>427</v>
      </c>
      <c r="B31" s="421" t="s">
        <v>428</v>
      </c>
      <c r="C31" s="430">
        <v>596000</v>
      </c>
      <c r="D31" s="431">
        <f>C31-D21</f>
        <v>400000</v>
      </c>
      <c r="E31" s="431">
        <f>D31-E21</f>
        <v>204000</v>
      </c>
      <c r="F31" s="431">
        <f>E31-F21</f>
        <v>108000</v>
      </c>
      <c r="G31" s="431"/>
    </row>
    <row r="32" spans="1:7" ht="48.75">
      <c r="A32" s="6">
        <v>1</v>
      </c>
      <c r="B32" s="424" t="s">
        <v>429</v>
      </c>
      <c r="C32" s="425"/>
      <c r="D32" s="431"/>
      <c r="E32" s="431"/>
      <c r="F32" s="431"/>
      <c r="G32" s="431"/>
    </row>
    <row r="33" spans="1:7" ht="12.75">
      <c r="A33" s="432" t="s">
        <v>430</v>
      </c>
      <c r="B33" s="433" t="s">
        <v>431</v>
      </c>
      <c r="C33" s="106">
        <f>C31/C9*100</f>
        <v>8.189935554743787</v>
      </c>
      <c r="D33" s="106">
        <f>D31/D9*100</f>
        <v>6.015037593984962</v>
      </c>
      <c r="E33" s="106">
        <f>E31/E9*100</f>
        <v>2.9565217391304346</v>
      </c>
      <c r="F33" s="106">
        <f>F31/F9*100</f>
        <v>1.5104895104895104</v>
      </c>
      <c r="G33" s="106">
        <f>G31/G9*100</f>
        <v>0</v>
      </c>
    </row>
    <row r="34" spans="1:7" ht="24.75">
      <c r="A34" s="420" t="s">
        <v>432</v>
      </c>
      <c r="B34" s="433" t="s">
        <v>433</v>
      </c>
      <c r="C34" s="106">
        <f>C19/C9*100</f>
        <v>8.60792458109311</v>
      </c>
      <c r="D34" s="106">
        <f>D19/D9*100</f>
        <v>3.172932330827068</v>
      </c>
      <c r="E34" s="106">
        <f>E19/E9*100</f>
        <v>2.9855072463768115</v>
      </c>
      <c r="F34" s="106">
        <f>F19/F9*100</f>
        <v>1.4125874125874125</v>
      </c>
      <c r="G34" s="106">
        <f>G19/G9*100</f>
        <v>0.6756756756756757</v>
      </c>
    </row>
    <row r="35" spans="1:7" ht="12.75">
      <c r="A35" s="432" t="s">
        <v>434</v>
      </c>
      <c r="B35" s="433" t="s">
        <v>435</v>
      </c>
      <c r="C35" s="106"/>
      <c r="D35" s="106"/>
      <c r="E35" s="106"/>
      <c r="F35" s="106"/>
      <c r="G35" s="106"/>
    </row>
    <row r="36" spans="1:7" ht="24.75">
      <c r="A36" s="420" t="s">
        <v>436</v>
      </c>
      <c r="B36" s="433" t="s">
        <v>437</v>
      </c>
      <c r="C36" s="106"/>
      <c r="D36" s="106"/>
      <c r="E36" s="106"/>
      <c r="F36" s="106"/>
      <c r="G36" s="106"/>
    </row>
    <row r="39" spans="3:6" ht="15">
      <c r="C39" s="303"/>
      <c r="D39" s="303"/>
      <c r="E39" s="303"/>
      <c r="F39" s="303"/>
    </row>
    <row r="40" spans="3:6" ht="12.75">
      <c r="C40" s="272"/>
      <c r="D40" s="111"/>
      <c r="E40" s="111"/>
      <c r="F40" s="111"/>
    </row>
    <row r="41" spans="3:6" ht="12.75">
      <c r="C41" s="272"/>
      <c r="D41" s="111"/>
      <c r="E41" s="111"/>
      <c r="F41" s="111"/>
    </row>
    <row r="42" spans="3:6" ht="13.5">
      <c r="C42" s="306"/>
      <c r="D42" s="306"/>
      <c r="E42" s="306"/>
      <c r="F42" s="306"/>
    </row>
  </sheetData>
  <mergeCells count="5">
    <mergeCell ref="A5:F5"/>
    <mergeCell ref="A7:A8"/>
    <mergeCell ref="B7:B8"/>
    <mergeCell ref="C7:C8"/>
    <mergeCell ref="D7:G7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85" zoomScaleNormal="85" zoomScaleSheetLayoutView="55" workbookViewId="0" topLeftCell="A1">
      <selection activeCell="C33" sqref="C33"/>
    </sheetView>
  </sheetViews>
  <sheetFormatPr defaultColWidth="12.00390625" defaultRowHeight="12.75"/>
  <cols>
    <col min="1" max="1" width="56.875" style="2" customWidth="1"/>
    <col min="2" max="2" width="17.375" style="2" customWidth="1"/>
    <col min="3" max="3" width="15.125" style="2" customWidth="1"/>
    <col min="4" max="4" width="11.625" style="2" customWidth="1"/>
    <col min="5" max="5" width="17.375" style="2" customWidth="1"/>
    <col min="6" max="252" width="11.625" style="2" customWidth="1"/>
    <col min="253" max="16384" width="11.625" style="0" customWidth="1"/>
  </cols>
  <sheetData>
    <row r="1" spans="1:5" ht="11.25" customHeight="1">
      <c r="A1" s="90"/>
      <c r="B1" s="3" t="s">
        <v>142</v>
      </c>
      <c r="C1" s="3"/>
      <c r="D1" s="3"/>
      <c r="E1" s="3"/>
    </row>
    <row r="2" spans="1:5" ht="11.25" customHeight="1">
      <c r="A2" s="90"/>
      <c r="B2" s="3" t="s">
        <v>1</v>
      </c>
      <c r="C2" s="3"/>
      <c r="D2" s="3"/>
      <c r="E2" s="3"/>
    </row>
    <row r="3" spans="1:5" ht="11.25" customHeight="1">
      <c r="A3" s="90"/>
      <c r="B3" s="3" t="s">
        <v>2</v>
      </c>
      <c r="C3" s="3"/>
      <c r="D3" s="3"/>
      <c r="E3" s="3"/>
    </row>
    <row r="4" ht="11.25" customHeight="1">
      <c r="A4" s="90"/>
    </row>
    <row r="5" ht="17.25">
      <c r="A5" s="91" t="s">
        <v>143</v>
      </c>
    </row>
    <row r="6" ht="12.75">
      <c r="A6" s="92"/>
    </row>
    <row r="7" spans="1:5" ht="24.75">
      <c r="A7" s="93" t="s">
        <v>5</v>
      </c>
      <c r="B7" s="94" t="s">
        <v>6</v>
      </c>
      <c r="C7" s="7" t="s">
        <v>7</v>
      </c>
      <c r="D7" s="7" t="s">
        <v>8</v>
      </c>
      <c r="E7" s="7" t="s">
        <v>9</v>
      </c>
    </row>
    <row r="8" spans="1:5" ht="12.75">
      <c r="A8" s="95">
        <v>1</v>
      </c>
      <c r="B8" s="96">
        <v>4</v>
      </c>
      <c r="C8" s="96"/>
      <c r="D8" s="96"/>
      <c r="E8" s="96"/>
    </row>
    <row r="9" spans="1:5" ht="15">
      <c r="A9" s="97" t="s">
        <v>144</v>
      </c>
      <c r="B9" s="98">
        <f>SUM(B10:B16)</f>
        <v>1809976</v>
      </c>
      <c r="C9" s="98">
        <f>SUM(C10:C16)</f>
        <v>5364</v>
      </c>
      <c r="D9" s="98">
        <f>SUM(D10:D16)</f>
        <v>0</v>
      </c>
      <c r="E9" s="98">
        <f>SUM(E10:E16)</f>
        <v>1815340</v>
      </c>
    </row>
    <row r="10" spans="1:5" ht="12.75">
      <c r="A10" s="99" t="s">
        <v>145</v>
      </c>
      <c r="B10" s="100">
        <f>1!E41+1!E50</f>
        <v>940000</v>
      </c>
      <c r="C10" s="100">
        <f>1!F41+1!F50</f>
        <v>0</v>
      </c>
      <c r="D10" s="100">
        <f>1!G41+1!G50</f>
        <v>0</v>
      </c>
      <c r="E10" s="100">
        <f>1!H41+1!H50</f>
        <v>940000</v>
      </c>
    </row>
    <row r="11" spans="1:5" ht="12.75">
      <c r="A11" s="99" t="s">
        <v>146</v>
      </c>
      <c r="B11" s="100">
        <f>1!E42+1!E51</f>
        <v>230000</v>
      </c>
      <c r="C11" s="100">
        <f>1!F42+1!F51</f>
        <v>0</v>
      </c>
      <c r="D11" s="100">
        <f>1!G42+1!G51</f>
        <v>0</v>
      </c>
      <c r="E11" s="100">
        <f>1!H42+1!H51</f>
        <v>230000</v>
      </c>
    </row>
    <row r="12" spans="1:5" ht="12.75">
      <c r="A12" s="99" t="s">
        <v>147</v>
      </c>
      <c r="B12" s="100">
        <f>1!E44+1!E53</f>
        <v>10500</v>
      </c>
      <c r="C12" s="100">
        <f>1!F44+1!F53</f>
        <v>0</v>
      </c>
      <c r="D12" s="100">
        <f>1!G44+1!G53</f>
        <v>0</v>
      </c>
      <c r="E12" s="100">
        <f>1!H44+1!H53</f>
        <v>10500</v>
      </c>
    </row>
    <row r="13" spans="1:5" ht="12.75">
      <c r="A13" s="99" t="s">
        <v>148</v>
      </c>
      <c r="B13" s="100">
        <f>1!E63</f>
        <v>10000</v>
      </c>
      <c r="C13" s="100">
        <f>1!F63</f>
        <v>0</v>
      </c>
      <c r="D13" s="100">
        <f>1!G63</f>
        <v>0</v>
      </c>
      <c r="E13" s="100">
        <f>1!H63</f>
        <v>10000</v>
      </c>
    </row>
    <row r="14" spans="1:5" ht="12.75">
      <c r="A14" s="99" t="s">
        <v>149</v>
      </c>
      <c r="B14" s="100">
        <f>1!E39</f>
        <v>2000</v>
      </c>
      <c r="C14" s="100">
        <f>1!F39</f>
        <v>0</v>
      </c>
      <c r="D14" s="100">
        <f>1!G39</f>
        <v>0</v>
      </c>
      <c r="E14" s="100">
        <f>1!H39</f>
        <v>2000</v>
      </c>
    </row>
    <row r="15" spans="1:5" ht="13.5">
      <c r="A15" s="101" t="s">
        <v>150</v>
      </c>
      <c r="B15" s="100">
        <f>1!E66</f>
        <v>2000</v>
      </c>
      <c r="C15" s="100">
        <f>1!F66</f>
        <v>0</v>
      </c>
      <c r="D15" s="100">
        <f>1!G66</f>
        <v>0</v>
      </c>
      <c r="E15" s="100">
        <f>1!H66</f>
        <v>2000</v>
      </c>
    </row>
    <row r="16" spans="1:5" ht="13.5">
      <c r="A16" s="101" t="s">
        <v>151</v>
      </c>
      <c r="B16" s="100">
        <f>1!E65</f>
        <v>615476</v>
      </c>
      <c r="C16" s="100">
        <f>1!F65</f>
        <v>5364</v>
      </c>
      <c r="D16" s="100">
        <f>1!G65</f>
        <v>0</v>
      </c>
      <c r="E16" s="100">
        <f>1!H65</f>
        <v>620840</v>
      </c>
    </row>
    <row r="17" spans="1:5" ht="15">
      <c r="A17" s="97" t="s">
        <v>152</v>
      </c>
      <c r="B17" s="98">
        <f>SUM(B18:B19)</f>
        <v>249000</v>
      </c>
      <c r="C17" s="98">
        <f>SUM(C18:C19)</f>
        <v>60000</v>
      </c>
      <c r="D17" s="98">
        <f>SUM(D18:D19)</f>
        <v>0</v>
      </c>
      <c r="E17" s="98">
        <f>SUM(E18:E19)</f>
        <v>309000</v>
      </c>
    </row>
    <row r="18" spans="1:5" ht="12.75">
      <c r="A18" s="99" t="s">
        <v>153</v>
      </c>
      <c r="B18" s="100">
        <f>1!E22</f>
        <v>200000</v>
      </c>
      <c r="C18" s="100">
        <f>1!F22</f>
        <v>60000</v>
      </c>
      <c r="D18" s="100">
        <f>1!G22</f>
        <v>0</v>
      </c>
      <c r="E18" s="100">
        <f>1!H22</f>
        <v>260000</v>
      </c>
    </row>
    <row r="19" spans="1:5" ht="12.75">
      <c r="A19" s="99" t="s">
        <v>154</v>
      </c>
      <c r="B19" s="100">
        <f>1!E21+1!E20+1!E17</f>
        <v>49000</v>
      </c>
      <c r="C19" s="100">
        <f>1!F21+1!F20+1!F17</f>
        <v>0</v>
      </c>
      <c r="D19" s="100">
        <f>1!G21+1!G20+1!G17</f>
        <v>0</v>
      </c>
      <c r="E19" s="100">
        <f>1!H21+1!H20+1!H17</f>
        <v>49000</v>
      </c>
    </row>
    <row r="20" spans="1:5" ht="13.5">
      <c r="A20" s="101" t="s">
        <v>155</v>
      </c>
      <c r="B20" s="102"/>
      <c r="C20" s="102"/>
      <c r="D20" s="102"/>
      <c r="E20" s="102"/>
    </row>
    <row r="21" spans="1:5" ht="15">
      <c r="A21" s="97" t="s">
        <v>156</v>
      </c>
      <c r="B21" s="98">
        <f>1!E43+1!E52+1!E54+1!E81+1!E103+1!E101+1!E61+1!E45+1!E73+1!E55+1!E56+1!E57+1!E58+1!E59+1!E48+1!E60+1!E46+1!E47+1!E102</f>
        <v>407000</v>
      </c>
      <c r="C21" s="98">
        <f>1!F43+1!F52+1!F54+1!F81+1!F103+1!F101+1!F61+1!F45+1!F73+1!F55+1!F56+1!F57+1!F58+1!F59+1!F48+1!F60+1!F46+1!F47+1!F102</f>
        <v>19560</v>
      </c>
      <c r="D21" s="98">
        <f>1!G43+1!G52+1!G54+1!G81+1!G103+1!G101+1!G61+1!G45+1!G73+1!G55+1!G56+1!G57+1!G58+1!G59+1!G48+1!G60+1!G46+1!G47+1!G102</f>
        <v>0</v>
      </c>
      <c r="E21" s="98">
        <f>1!H43+1!H52+1!H54+1!H81+1!H103+1!H101+1!H61+1!H45+1!H73+1!H55+1!H56+1!H57+1!H58+1!H59+1!H48+1!H60+1!H46+1!H47+1!H102</f>
        <v>426560</v>
      </c>
    </row>
    <row r="22" spans="1:5" ht="15">
      <c r="A22" s="103" t="s">
        <v>157</v>
      </c>
      <c r="B22" s="104">
        <f>SUM(B9,B17,B20,B21)</f>
        <v>2465976</v>
      </c>
      <c r="C22" s="104">
        <f>SUM(C9,C17,C20,C21)</f>
        <v>84924</v>
      </c>
      <c r="D22" s="104">
        <f>SUM(D9,D17,D20,D21)</f>
        <v>0</v>
      </c>
      <c r="E22" s="104">
        <f>SUM(E9,E17,E20,E21)</f>
        <v>2550900</v>
      </c>
    </row>
    <row r="23" spans="1:7" ht="15">
      <c r="A23" s="97" t="s">
        <v>158</v>
      </c>
      <c r="B23" s="98">
        <f>1!E68+1!E70+1!E74</f>
        <v>2438514</v>
      </c>
      <c r="C23" s="98">
        <f>1!F68+1!F70+1!F74</f>
        <v>0</v>
      </c>
      <c r="D23" s="98">
        <f>1!G68+1!G70+1!G74</f>
        <v>0</v>
      </c>
      <c r="E23" s="98">
        <f>1!H68+1!H70+1!H74</f>
        <v>2438514</v>
      </c>
      <c r="F23" s="105"/>
      <c r="G23" s="105"/>
    </row>
    <row r="24" spans="1:5" ht="15">
      <c r="A24" s="97" t="s">
        <v>159</v>
      </c>
      <c r="B24" s="98">
        <f>SUM(B25:B28)</f>
        <v>1763306</v>
      </c>
      <c r="C24" s="98">
        <f>SUM(C25:C28)</f>
        <v>77534.54000000001</v>
      </c>
      <c r="D24" s="98">
        <f>SUM(D25:D28)</f>
        <v>0</v>
      </c>
      <c r="E24" s="98">
        <f>SUM(E25:E28)</f>
        <v>1840840.54</v>
      </c>
    </row>
    <row r="25" spans="1:5" ht="13.5">
      <c r="A25" s="101" t="s">
        <v>160</v>
      </c>
      <c r="B25" s="100">
        <f>1!E91+1!E95+1!E89+1!E78+1!E98</f>
        <v>346766</v>
      </c>
      <c r="C25" s="100">
        <f>1!F91+1!F95+1!F89+1!F78+1!F98</f>
        <v>26951</v>
      </c>
      <c r="D25" s="100">
        <f>1!G91+1!G95+1!G89+1!G78+1!G98</f>
        <v>0</v>
      </c>
      <c r="E25" s="100">
        <f>1!H91+1!H95+1!H89+1!H78+1!H98</f>
        <v>373717</v>
      </c>
    </row>
    <row r="26" spans="1:5" ht="13.5">
      <c r="A26" s="101" t="s">
        <v>161</v>
      </c>
      <c r="B26" s="100">
        <f>1!E88+1!E86+1!E84+1!E31+1!E28+1!E36+1!E93+1!E12</f>
        <v>1414540</v>
      </c>
      <c r="C26" s="100">
        <f>1!F88+1!F86+1!F84+1!F31+1!F28+1!F36+1!F93+1!F12</f>
        <v>35583.54</v>
      </c>
      <c r="D26" s="100">
        <f>1!G88+1!G86+1!G84+1!G31+1!G28+1!G36+1!G93+1!G12</f>
        <v>0</v>
      </c>
      <c r="E26" s="100">
        <f>1!H88+1!H86+1!H84+1!H31+1!H28+1!H36+1!H93+1!H12</f>
        <v>1450123.54</v>
      </c>
    </row>
    <row r="27" spans="1:5" ht="25.5">
      <c r="A27" s="101" t="s">
        <v>162</v>
      </c>
      <c r="B27" s="106">
        <f>1!E25+1!E34</f>
        <v>2000</v>
      </c>
      <c r="C27" s="106">
        <f>1!F25+1!F34</f>
        <v>15000</v>
      </c>
      <c r="D27" s="106">
        <f>1!G25+1!G34</f>
        <v>0</v>
      </c>
      <c r="E27" s="106">
        <f>1!H25+1!H34</f>
        <v>17000</v>
      </c>
    </row>
    <row r="28" spans="1:5" ht="13.5">
      <c r="A28" s="101" t="s">
        <v>163</v>
      </c>
      <c r="B28" s="100"/>
      <c r="C28" s="100"/>
      <c r="D28" s="100"/>
      <c r="E28" s="100"/>
    </row>
    <row r="29" spans="1:5" ht="15">
      <c r="A29" s="103" t="s">
        <v>164</v>
      </c>
      <c r="B29" s="104">
        <f>SUM(B23+B24)</f>
        <v>4201820</v>
      </c>
      <c r="C29" s="104">
        <f>SUM(C23+C24)</f>
        <v>77534.54000000001</v>
      </c>
      <c r="D29" s="104">
        <f>SUM(D23+D24)</f>
        <v>0</v>
      </c>
      <c r="E29" s="104">
        <f>SUM(E23+E24)</f>
        <v>4279354.54</v>
      </c>
    </row>
    <row r="30" spans="1:5" ht="29.25">
      <c r="A30" s="107" t="s">
        <v>165</v>
      </c>
      <c r="B30" s="104">
        <f>1!E14</f>
        <v>446970</v>
      </c>
      <c r="C30" s="104">
        <f>1!F14</f>
        <v>0</v>
      </c>
      <c r="D30" s="104">
        <f>1!G14</f>
        <v>0</v>
      </c>
      <c r="E30" s="104">
        <f>1!H14</f>
        <v>446970</v>
      </c>
    </row>
    <row r="31" spans="1:5" ht="17.25">
      <c r="A31" s="108" t="s">
        <v>141</v>
      </c>
      <c r="B31" s="109">
        <f>SUM(B22+B29+B30)</f>
        <v>7114766</v>
      </c>
      <c r="C31" s="109">
        <f>SUM(C22+C29+C30)</f>
        <v>162458.54</v>
      </c>
      <c r="D31" s="109">
        <f>SUM(D22+D29+D30)</f>
        <v>0</v>
      </c>
      <c r="E31" s="109">
        <f>SUM(E22+E29+E30)</f>
        <v>7277224.54</v>
      </c>
    </row>
  </sheetData>
  <printOptions horizontalCentered="1"/>
  <pageMargins left="0.7875" right="0.7875" top="0.7875" bottom="0.7875" header="0.5118055555555555" footer="0.5118055555555555"/>
  <pageSetup firstPageNumber="1" useFirstPageNumber="1" horizontalDpi="300" verticalDpi="300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4"/>
  <sheetViews>
    <sheetView zoomScale="85" zoomScaleNormal="85" zoomScaleSheetLayoutView="55" workbookViewId="0" topLeftCell="A1">
      <selection activeCell="J1" sqref="J1"/>
    </sheetView>
  </sheetViews>
  <sheetFormatPr defaultColWidth="9.00390625" defaultRowHeight="12.75"/>
  <cols>
    <col min="1" max="1" width="6.00390625" style="110" customWidth="1"/>
    <col min="2" max="2" width="8.625" style="111" customWidth="1"/>
    <col min="3" max="3" width="6.125" style="111" customWidth="1"/>
    <col min="4" max="4" width="65.50390625" style="111" customWidth="1"/>
    <col min="5" max="5" width="17.625" style="111" customWidth="1"/>
    <col min="6" max="6" width="15.125" style="111" customWidth="1"/>
    <col min="7" max="7" width="13.625" style="111" customWidth="1"/>
    <col min="8" max="8" width="17.375" style="111" customWidth="1"/>
    <col min="9" max="9" width="8.00390625" style="111" customWidth="1"/>
    <col min="10" max="237" width="9.00390625" style="111" customWidth="1"/>
    <col min="238" max="239" width="9.00390625" style="2" customWidth="1"/>
  </cols>
  <sheetData>
    <row r="1" spans="5:9" ht="12.75">
      <c r="E1" s="3" t="s">
        <v>166</v>
      </c>
      <c r="F1" s="3"/>
      <c r="G1" s="3"/>
      <c r="H1" s="3"/>
      <c r="I1" s="3"/>
    </row>
    <row r="2" spans="5:9" ht="12.75">
      <c r="E2" s="3" t="s">
        <v>1</v>
      </c>
      <c r="F2" s="3"/>
      <c r="G2" s="3"/>
      <c r="H2" s="3"/>
      <c r="I2" s="3"/>
    </row>
    <row r="3" spans="5:9" ht="12.75">
      <c r="E3" s="3" t="s">
        <v>2</v>
      </c>
      <c r="F3" s="3"/>
      <c r="G3" s="3"/>
      <c r="H3" s="3"/>
      <c r="I3" s="3"/>
    </row>
    <row r="4" ht="9" customHeight="1"/>
    <row r="5" spans="1:256" s="113" customFormat="1" ht="17.25">
      <c r="A5" s="112" t="s">
        <v>167</v>
      </c>
      <c r="B5" s="112"/>
      <c r="C5" s="112"/>
      <c r="D5" s="112"/>
      <c r="E5" s="112"/>
      <c r="F5" s="112"/>
      <c r="G5" s="112"/>
      <c r="H5" s="112"/>
      <c r="I5" s="112"/>
      <c r="ID5" s="2"/>
      <c r="IE5" s="2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13" customFormat="1" ht="10.5" customHeight="1">
      <c r="A6" s="114"/>
      <c r="B6" s="114"/>
      <c r="C6" s="114"/>
      <c r="D6" s="114"/>
      <c r="E6"/>
      <c r="F6"/>
      <c r="G6"/>
      <c r="H6"/>
      <c r="I6"/>
      <c r="ID6" s="2"/>
      <c r="IE6" s="2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16" customFormat="1" ht="15">
      <c r="A7" s="6" t="s">
        <v>10</v>
      </c>
      <c r="B7" s="6" t="s">
        <v>11</v>
      </c>
      <c r="C7" s="6" t="s">
        <v>12</v>
      </c>
      <c r="D7" s="6" t="s">
        <v>168</v>
      </c>
      <c r="E7" s="7" t="s">
        <v>6</v>
      </c>
      <c r="F7" s="7" t="s">
        <v>7</v>
      </c>
      <c r="G7" s="7" t="s">
        <v>8</v>
      </c>
      <c r="H7" s="7" t="s">
        <v>9</v>
      </c>
      <c r="I7" s="115"/>
      <c r="ID7" s="2"/>
      <c r="IE7" s="2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16" customFormat="1" ht="15">
      <c r="A8" s="6"/>
      <c r="B8" s="6"/>
      <c r="C8" s="6"/>
      <c r="D8" s="6"/>
      <c r="E8" s="7"/>
      <c r="F8" s="7"/>
      <c r="G8" s="7"/>
      <c r="H8" s="7"/>
      <c r="I8" s="115"/>
      <c r="ID8" s="2"/>
      <c r="IE8" s="2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19" customFormat="1" ht="12.75">
      <c r="A9" s="9">
        <v>1</v>
      </c>
      <c r="B9" s="9">
        <v>2</v>
      </c>
      <c r="C9" s="117">
        <v>3</v>
      </c>
      <c r="D9" s="9">
        <v>4</v>
      </c>
      <c r="E9" s="9">
        <v>6</v>
      </c>
      <c r="F9" s="9"/>
      <c r="G9" s="9"/>
      <c r="H9" s="9"/>
      <c r="I9" s="118"/>
      <c r="ID9" s="2"/>
      <c r="IE9" s="2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23" customFormat="1" ht="15">
      <c r="A10" s="120" t="s">
        <v>13</v>
      </c>
      <c r="B10" s="72" t="s">
        <v>14</v>
      </c>
      <c r="C10" s="72"/>
      <c r="D10" s="72"/>
      <c r="E10" s="121">
        <f>SUM(E11,E13,E15)</f>
        <v>239600</v>
      </c>
      <c r="F10" s="121">
        <f>SUM(F11,F13,F15)</f>
        <v>35583.54</v>
      </c>
      <c r="G10" s="121">
        <f>SUM(G11,G13,G15)</f>
        <v>0</v>
      </c>
      <c r="H10" s="121">
        <f>SUM(H11,H13,H15)</f>
        <v>275183.54</v>
      </c>
      <c r="I10" s="122"/>
      <c r="ID10" s="2"/>
      <c r="IE10" s="2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25" customFormat="1" ht="13.5">
      <c r="A11" s="22"/>
      <c r="B11" s="13" t="s">
        <v>169</v>
      </c>
      <c r="C11" s="14" t="s">
        <v>170</v>
      </c>
      <c r="D11" s="14"/>
      <c r="E11" s="23">
        <f>SUM(E12:E12)</f>
        <v>235000</v>
      </c>
      <c r="F11" s="23">
        <f>SUM(F12:F12)</f>
        <v>0</v>
      </c>
      <c r="G11" s="23">
        <f>SUM(G12:G12)</f>
        <v>0</v>
      </c>
      <c r="H11" s="23">
        <f>SUM(H12:H12)</f>
        <v>235000</v>
      </c>
      <c r="I11" s="124"/>
      <c r="ID11" s="2"/>
      <c r="IE11" s="2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28" customFormat="1" ht="12.75">
      <c r="A12" s="22"/>
      <c r="B12" s="16"/>
      <c r="C12" s="6">
        <v>6050</v>
      </c>
      <c r="D12" s="126" t="s">
        <v>171</v>
      </c>
      <c r="E12" s="20">
        <v>235000</v>
      </c>
      <c r="F12" s="20"/>
      <c r="G12" s="20"/>
      <c r="H12" s="20">
        <f>E12+F12-G12</f>
        <v>235000</v>
      </c>
      <c r="I12" s="127"/>
      <c r="ID12" s="2"/>
      <c r="IE12" s="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9" ht="12.75">
      <c r="A13" s="22"/>
      <c r="B13" s="13" t="s">
        <v>172</v>
      </c>
      <c r="C13" s="49" t="s">
        <v>173</v>
      </c>
      <c r="D13" s="49"/>
      <c r="E13" s="23">
        <f>SUM(E14)</f>
        <v>4600</v>
      </c>
      <c r="F13" s="23">
        <f>SUM(F14)</f>
        <v>0</v>
      </c>
      <c r="G13" s="23">
        <f>SUM(G14)</f>
        <v>0</v>
      </c>
      <c r="H13" s="23">
        <f>SUM(H14)</f>
        <v>4600</v>
      </c>
      <c r="I13" s="124"/>
    </row>
    <row r="14" spans="1:9" ht="25.5" customHeight="1">
      <c r="A14" s="22"/>
      <c r="B14" s="52"/>
      <c r="C14" s="129">
        <v>2850</v>
      </c>
      <c r="D14" s="24" t="s">
        <v>174</v>
      </c>
      <c r="E14" s="50">
        <v>4600</v>
      </c>
      <c r="F14" s="50"/>
      <c r="G14" s="50"/>
      <c r="H14" s="20">
        <f>E14+F14-G14</f>
        <v>4600</v>
      </c>
      <c r="I14" s="127"/>
    </row>
    <row r="15" spans="1:9" ht="12.75">
      <c r="A15" s="22"/>
      <c r="B15" s="13" t="s">
        <v>15</v>
      </c>
      <c r="C15" s="14" t="s">
        <v>16</v>
      </c>
      <c r="D15" s="14"/>
      <c r="E15" s="15">
        <f>SUM(E16:E18)</f>
        <v>0</v>
      </c>
      <c r="F15" s="15">
        <f>SUM(F16:F18)</f>
        <v>35583.54</v>
      </c>
      <c r="G15" s="15">
        <f>SUM(G16:G18)</f>
        <v>0</v>
      </c>
      <c r="H15" s="15">
        <f>SUM(H16:H18)</f>
        <v>35583.54</v>
      </c>
      <c r="I15" s="127"/>
    </row>
    <row r="16" spans="1:9" ht="12.75">
      <c r="A16" s="22"/>
      <c r="B16" s="16"/>
      <c r="C16" s="70">
        <v>4170</v>
      </c>
      <c r="D16" s="58" t="s">
        <v>175</v>
      </c>
      <c r="E16" s="19">
        <v>0</v>
      </c>
      <c r="F16" s="20">
        <v>500</v>
      </c>
      <c r="G16" s="21"/>
      <c r="H16" s="20">
        <f>E16+F16-G16</f>
        <v>500</v>
      </c>
      <c r="I16" s="127"/>
    </row>
    <row r="17" spans="1:9" ht="12.75">
      <c r="A17" s="22"/>
      <c r="B17" s="16"/>
      <c r="C17" s="6">
        <v>4210</v>
      </c>
      <c r="D17" s="126" t="s">
        <v>176</v>
      </c>
      <c r="E17" s="19">
        <v>0</v>
      </c>
      <c r="F17" s="20">
        <v>197.71</v>
      </c>
      <c r="G17" s="21"/>
      <c r="H17" s="20">
        <f>E17+F17-G17</f>
        <v>197.71</v>
      </c>
      <c r="I17" s="127"/>
    </row>
    <row r="18" spans="1:9" ht="12.75">
      <c r="A18" s="22"/>
      <c r="B18" s="52"/>
      <c r="C18" s="6">
        <v>4430</v>
      </c>
      <c r="D18" s="126" t="s">
        <v>177</v>
      </c>
      <c r="E18" s="19">
        <v>0</v>
      </c>
      <c r="F18" s="20">
        <v>34885.83</v>
      </c>
      <c r="G18" s="21"/>
      <c r="H18" s="20">
        <f>E18+F18-G18</f>
        <v>34885.83</v>
      </c>
      <c r="I18" s="127"/>
    </row>
    <row r="19" spans="1:9" ht="14.25">
      <c r="A19" s="120" t="s">
        <v>178</v>
      </c>
      <c r="B19" s="130" t="s">
        <v>179</v>
      </c>
      <c r="C19" s="130"/>
      <c r="D19" s="130"/>
      <c r="E19" s="121">
        <f>SUM(E20)</f>
        <v>46000</v>
      </c>
      <c r="F19" s="121">
        <f>SUM(F20)</f>
        <v>0</v>
      </c>
      <c r="G19" s="121">
        <f>SUM(G20)</f>
        <v>0</v>
      </c>
      <c r="H19" s="121">
        <f>SUM(H20)</f>
        <v>46000</v>
      </c>
      <c r="I19" s="122"/>
    </row>
    <row r="20" spans="1:9" ht="13.5">
      <c r="A20" s="27"/>
      <c r="B20" s="28" t="s">
        <v>180</v>
      </c>
      <c r="C20" s="131" t="s">
        <v>181</v>
      </c>
      <c r="D20" s="131"/>
      <c r="E20" s="30">
        <f>SUM(E21:E21)</f>
        <v>46000</v>
      </c>
      <c r="F20" s="30">
        <f>SUM(F21:F21)</f>
        <v>0</v>
      </c>
      <c r="G20" s="30">
        <f>SUM(G21:G21)</f>
        <v>0</v>
      </c>
      <c r="H20" s="30">
        <f>SUM(H21:H21)</f>
        <v>46000</v>
      </c>
      <c r="I20" s="132"/>
    </row>
    <row r="21" spans="1:9" ht="13.5">
      <c r="A21" s="27"/>
      <c r="B21" s="86"/>
      <c r="C21" s="6">
        <v>4300</v>
      </c>
      <c r="D21" s="126" t="s">
        <v>182</v>
      </c>
      <c r="E21" s="50">
        <v>46000</v>
      </c>
      <c r="F21" s="50"/>
      <c r="G21" s="50"/>
      <c r="H21" s="20">
        <f>E21+F21-G21</f>
        <v>46000</v>
      </c>
      <c r="I21" s="127"/>
    </row>
    <row r="22" spans="1:9" ht="13.5">
      <c r="A22" s="71">
        <v>600</v>
      </c>
      <c r="B22" s="72" t="s">
        <v>183</v>
      </c>
      <c r="C22" s="72"/>
      <c r="D22" s="72"/>
      <c r="E22" s="121">
        <f>SUM(E23)</f>
        <v>66000</v>
      </c>
      <c r="F22" s="121">
        <f>SUM(F23)</f>
        <v>0</v>
      </c>
      <c r="G22" s="121">
        <f>SUM(G23)</f>
        <v>0</v>
      </c>
      <c r="H22" s="121">
        <f>SUM(H23)</f>
        <v>66000</v>
      </c>
      <c r="I22" s="122"/>
    </row>
    <row r="23" spans="1:9" ht="12.75" customHeight="1">
      <c r="A23" s="133"/>
      <c r="B23" s="13" t="s">
        <v>184</v>
      </c>
      <c r="C23" s="49" t="s">
        <v>185</v>
      </c>
      <c r="D23" s="49"/>
      <c r="E23" s="23">
        <f>SUM(E24:E27)</f>
        <v>66000</v>
      </c>
      <c r="F23" s="23">
        <f>SUM(F24:F27)</f>
        <v>0</v>
      </c>
      <c r="G23" s="23">
        <f>SUM(G24:G27)</f>
        <v>0</v>
      </c>
      <c r="H23" s="23">
        <f>SUM(H24:H27)</f>
        <v>66000</v>
      </c>
      <c r="I23" s="124"/>
    </row>
    <row r="24" spans="1:9" ht="12.75" customHeight="1">
      <c r="A24" s="133"/>
      <c r="B24" s="134"/>
      <c r="C24" s="70">
        <v>4170</v>
      </c>
      <c r="D24" s="58" t="s">
        <v>175</v>
      </c>
      <c r="E24" s="135">
        <v>1000</v>
      </c>
      <c r="F24" s="135"/>
      <c r="G24" s="135"/>
      <c r="H24" s="20">
        <f>E24+F24-G24</f>
        <v>1000</v>
      </c>
      <c r="I24" s="127"/>
    </row>
    <row r="25" spans="1:256" s="125" customFormat="1" ht="12.75" customHeight="1">
      <c r="A25" s="133"/>
      <c r="B25" s="136"/>
      <c r="C25" s="6">
        <v>4210</v>
      </c>
      <c r="D25" s="126" t="s">
        <v>176</v>
      </c>
      <c r="E25" s="135">
        <v>5000</v>
      </c>
      <c r="F25" s="135"/>
      <c r="G25" s="135"/>
      <c r="H25" s="20">
        <f>E25+F25-G25</f>
        <v>5000</v>
      </c>
      <c r="I25" s="127"/>
      <c r="ID25" s="2"/>
      <c r="IE25" s="2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25" customFormat="1" ht="12.75" customHeight="1">
      <c r="A26" s="133"/>
      <c r="B26" s="136"/>
      <c r="C26" s="6">
        <v>4300</v>
      </c>
      <c r="D26" s="126" t="s">
        <v>182</v>
      </c>
      <c r="E26" s="135">
        <v>50000</v>
      </c>
      <c r="F26" s="135"/>
      <c r="G26" s="135"/>
      <c r="H26" s="20">
        <f>E26+F26-G26</f>
        <v>50000</v>
      </c>
      <c r="I26" s="127"/>
      <c r="ID26" s="2"/>
      <c r="IE26" s="2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25" customFormat="1" ht="12.75" customHeight="1">
      <c r="A27" s="133"/>
      <c r="B27" s="136"/>
      <c r="C27" s="129">
        <v>6050</v>
      </c>
      <c r="D27" s="126" t="s">
        <v>171</v>
      </c>
      <c r="E27" s="135">
        <v>10000</v>
      </c>
      <c r="F27" s="135"/>
      <c r="G27" s="135"/>
      <c r="H27" s="20">
        <f>E27+F27-G27</f>
        <v>10000</v>
      </c>
      <c r="I27" s="127"/>
      <c r="ID27" s="2"/>
      <c r="IE27" s="2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9" ht="13.5">
      <c r="A28" s="71">
        <v>630</v>
      </c>
      <c r="B28" s="72" t="s">
        <v>186</v>
      </c>
      <c r="C28" s="72"/>
      <c r="D28" s="72"/>
      <c r="E28" s="121">
        <f>SUM(E29)</f>
        <v>15000</v>
      </c>
      <c r="F28" s="121">
        <f>SUM(F29)</f>
        <v>10000</v>
      </c>
      <c r="G28" s="121">
        <f>SUM(G29)</f>
        <v>0</v>
      </c>
      <c r="H28" s="121">
        <f>SUM(H29)</f>
        <v>25000</v>
      </c>
      <c r="I28" s="122"/>
    </row>
    <row r="29" spans="1:9" ht="12.75" customHeight="1">
      <c r="A29" s="133"/>
      <c r="B29" s="137" t="s">
        <v>187</v>
      </c>
      <c r="C29" s="49" t="s">
        <v>188</v>
      </c>
      <c r="D29" s="49"/>
      <c r="E29" s="23">
        <f>SUM(E30:E36)</f>
        <v>15000</v>
      </c>
      <c r="F29" s="23">
        <f>SUM(F30:F36)</f>
        <v>10000</v>
      </c>
      <c r="G29" s="23">
        <f>SUM(G30:G36)</f>
        <v>0</v>
      </c>
      <c r="H29" s="23">
        <f>SUM(H30:H36)</f>
        <v>25000</v>
      </c>
      <c r="I29" s="124"/>
    </row>
    <row r="30" spans="1:9" ht="12.75" customHeight="1">
      <c r="A30" s="133"/>
      <c r="B30" s="138"/>
      <c r="C30" s="139">
        <v>2320</v>
      </c>
      <c r="D30" s="140" t="s">
        <v>189</v>
      </c>
      <c r="E30" s="135">
        <v>4500</v>
      </c>
      <c r="F30" s="135"/>
      <c r="G30" s="135"/>
      <c r="H30" s="20">
        <f>E30+F30-G30</f>
        <v>4500</v>
      </c>
      <c r="I30" s="127"/>
    </row>
    <row r="31" spans="1:9" ht="12.75" customHeight="1">
      <c r="A31" s="133"/>
      <c r="B31" s="138"/>
      <c r="C31" s="6">
        <v>4010</v>
      </c>
      <c r="D31" s="126" t="s">
        <v>190</v>
      </c>
      <c r="E31" s="135"/>
      <c r="F31" s="135">
        <v>3800</v>
      </c>
      <c r="G31" s="135"/>
      <c r="H31" s="20">
        <f>E31+F31-G31</f>
        <v>3800</v>
      </c>
      <c r="I31" s="127"/>
    </row>
    <row r="32" spans="1:256" s="123" customFormat="1" ht="12.75" customHeight="1">
      <c r="A32" s="133"/>
      <c r="B32" s="141"/>
      <c r="C32" s="6">
        <v>4100</v>
      </c>
      <c r="D32" s="142" t="s">
        <v>191</v>
      </c>
      <c r="E32" s="135">
        <v>500</v>
      </c>
      <c r="F32" s="135"/>
      <c r="G32" s="135"/>
      <c r="H32" s="20">
        <f>E32+F32-G32</f>
        <v>500</v>
      </c>
      <c r="I32" s="127"/>
      <c r="ID32" s="2"/>
      <c r="IE32" s="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23" customFormat="1" ht="12.75" customHeight="1">
      <c r="A33" s="133"/>
      <c r="B33" s="141"/>
      <c r="C33" s="6">
        <v>4110</v>
      </c>
      <c r="D33" s="126" t="s">
        <v>192</v>
      </c>
      <c r="E33" s="135"/>
      <c r="F33" s="135">
        <v>700</v>
      </c>
      <c r="G33" s="135"/>
      <c r="H33" s="20">
        <f>E33+F33-G33</f>
        <v>700</v>
      </c>
      <c r="I33" s="127"/>
      <c r="ID33" s="2"/>
      <c r="IE33" s="2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25" customFormat="1" ht="12.75" customHeight="1">
      <c r="A34" s="133"/>
      <c r="B34" s="141"/>
      <c r="C34" s="6">
        <v>4210</v>
      </c>
      <c r="D34" s="126" t="s">
        <v>176</v>
      </c>
      <c r="E34" s="135">
        <v>7000</v>
      </c>
      <c r="F34" s="135">
        <v>5000</v>
      </c>
      <c r="G34" s="135"/>
      <c r="H34" s="20">
        <f>E34+F34-G34</f>
        <v>12000</v>
      </c>
      <c r="I34" s="127"/>
      <c r="ID34" s="2"/>
      <c r="IE34" s="2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9" ht="12.75" customHeight="1">
      <c r="A35" s="133"/>
      <c r="B35" s="141"/>
      <c r="C35" s="6">
        <v>4300</v>
      </c>
      <c r="D35" s="126" t="s">
        <v>193</v>
      </c>
      <c r="E35" s="135">
        <v>500</v>
      </c>
      <c r="F35" s="135">
        <v>500</v>
      </c>
      <c r="G35" s="135"/>
      <c r="H35" s="20">
        <f>E35+F35-G35</f>
        <v>1000</v>
      </c>
      <c r="I35" s="127"/>
    </row>
    <row r="36" spans="1:9" ht="12.75" customHeight="1">
      <c r="A36" s="133"/>
      <c r="B36" s="143"/>
      <c r="C36" s="6">
        <v>4430</v>
      </c>
      <c r="D36" s="126" t="s">
        <v>177</v>
      </c>
      <c r="E36" s="135">
        <v>2500</v>
      </c>
      <c r="F36" s="135"/>
      <c r="G36" s="135"/>
      <c r="H36" s="20">
        <f>E36+F36-G36</f>
        <v>2500</v>
      </c>
      <c r="I36" s="127"/>
    </row>
    <row r="37" spans="1:9" ht="12.75" customHeight="1">
      <c r="A37" s="120" t="s">
        <v>28</v>
      </c>
      <c r="B37" s="72" t="s">
        <v>29</v>
      </c>
      <c r="C37" s="72"/>
      <c r="D37" s="72"/>
      <c r="E37" s="121">
        <f>SUM(E38)</f>
        <v>10000</v>
      </c>
      <c r="F37" s="121">
        <f>SUM(F38)</f>
        <v>0</v>
      </c>
      <c r="G37" s="121">
        <f>SUM(G38)</f>
        <v>0</v>
      </c>
      <c r="H37" s="121">
        <f>SUM(H38)</f>
        <v>10000</v>
      </c>
      <c r="I37" s="122"/>
    </row>
    <row r="38" spans="1:9" ht="12.75" customHeight="1">
      <c r="A38" s="34"/>
      <c r="B38" s="28" t="s">
        <v>30</v>
      </c>
      <c r="C38" s="35" t="s">
        <v>31</v>
      </c>
      <c r="D38" s="35"/>
      <c r="E38" s="30">
        <f>SUM(E39:E40)</f>
        <v>10000</v>
      </c>
      <c r="F38" s="30">
        <f>SUM(F39:F40)</f>
        <v>0</v>
      </c>
      <c r="G38" s="30">
        <f>SUM(G39:G40)</f>
        <v>0</v>
      </c>
      <c r="H38" s="30">
        <f>SUM(H39:H40)</f>
        <v>10000</v>
      </c>
      <c r="I38" s="132"/>
    </row>
    <row r="39" spans="1:9" ht="12.75" customHeight="1">
      <c r="A39" s="34"/>
      <c r="B39" s="36"/>
      <c r="C39" s="6">
        <v>4430</v>
      </c>
      <c r="D39" s="126" t="s">
        <v>177</v>
      </c>
      <c r="E39" s="50">
        <v>5000</v>
      </c>
      <c r="F39" s="50"/>
      <c r="G39" s="50"/>
      <c r="H39" s="20">
        <f>E39+F39-G39</f>
        <v>5000</v>
      </c>
      <c r="I39" s="127"/>
    </row>
    <row r="40" spans="1:9" ht="12.75" customHeight="1">
      <c r="A40" s="34"/>
      <c r="B40" s="86"/>
      <c r="C40" s="129">
        <v>6050</v>
      </c>
      <c r="D40" s="126" t="s">
        <v>171</v>
      </c>
      <c r="E40" s="135">
        <v>5000</v>
      </c>
      <c r="F40" s="135"/>
      <c r="G40" s="135"/>
      <c r="H40" s="20">
        <f>E40+F40-G40</f>
        <v>5000</v>
      </c>
      <c r="I40" s="127"/>
    </row>
    <row r="41" spans="1:9" ht="12.75" customHeight="1">
      <c r="A41" s="120" t="s">
        <v>37</v>
      </c>
      <c r="B41" s="72" t="s">
        <v>38</v>
      </c>
      <c r="C41" s="72"/>
      <c r="D41" s="72"/>
      <c r="E41" s="121">
        <f>SUM(E42)</f>
        <v>2500</v>
      </c>
      <c r="F41" s="121">
        <f>SUM(F42)</f>
        <v>200</v>
      </c>
      <c r="G41" s="121">
        <f>SUM(G42)</f>
        <v>200</v>
      </c>
      <c r="H41" s="121">
        <f>SUM(H42)</f>
        <v>2500</v>
      </c>
      <c r="I41" s="122"/>
    </row>
    <row r="42" spans="1:9" ht="12.75" customHeight="1">
      <c r="A42" s="40"/>
      <c r="B42" s="28" t="s">
        <v>39</v>
      </c>
      <c r="C42" s="29" t="s">
        <v>40</v>
      </c>
      <c r="D42" s="29"/>
      <c r="E42" s="30">
        <f>SUM(E43:E44)</f>
        <v>2500</v>
      </c>
      <c r="F42" s="30">
        <f>SUM(F43:F44)</f>
        <v>200</v>
      </c>
      <c r="G42" s="30">
        <f>SUM(G43:G44)</f>
        <v>200</v>
      </c>
      <c r="H42" s="30">
        <f>SUM(H43:H44)</f>
        <v>2500</v>
      </c>
      <c r="I42" s="132"/>
    </row>
    <row r="43" spans="1:9" ht="12.75" customHeight="1">
      <c r="A43" s="42"/>
      <c r="B43" s="38"/>
      <c r="C43" s="70">
        <v>4170</v>
      </c>
      <c r="D43" s="58" t="s">
        <v>175</v>
      </c>
      <c r="E43" s="50">
        <v>300</v>
      </c>
      <c r="F43" s="50">
        <v>200</v>
      </c>
      <c r="G43" s="50"/>
      <c r="H43" s="20">
        <f>E43+F43-G43</f>
        <v>500</v>
      </c>
      <c r="I43" s="127"/>
    </row>
    <row r="44" spans="1:9" ht="12.75" customHeight="1">
      <c r="A44" s="60"/>
      <c r="B44" s="32"/>
      <c r="C44" s="129">
        <v>4300</v>
      </c>
      <c r="D44" s="126" t="s">
        <v>194</v>
      </c>
      <c r="E44" s="50">
        <v>2200</v>
      </c>
      <c r="F44" s="50"/>
      <c r="G44" s="50">
        <v>200</v>
      </c>
      <c r="H44" s="20">
        <f>E44+F44-G44</f>
        <v>2000</v>
      </c>
      <c r="I44" s="127"/>
    </row>
    <row r="45" spans="1:9" ht="13.5">
      <c r="A45" s="71">
        <v>750</v>
      </c>
      <c r="B45" s="72" t="s">
        <v>195</v>
      </c>
      <c r="C45" s="72"/>
      <c r="D45" s="72"/>
      <c r="E45" s="121">
        <f>SUM(E46,E52,E57)</f>
        <v>1042780</v>
      </c>
      <c r="F45" s="121">
        <f>SUM(F46,F52,F57)</f>
        <v>1500</v>
      </c>
      <c r="G45" s="121">
        <f>SUM(G46,G52,G57)</f>
        <v>0</v>
      </c>
      <c r="H45" s="121">
        <f>SUM(H46,H52,H57)</f>
        <v>1044280</v>
      </c>
      <c r="I45" s="122"/>
    </row>
    <row r="46" spans="1:9" ht="12.75" customHeight="1">
      <c r="A46" s="144"/>
      <c r="B46" s="74">
        <v>75011</v>
      </c>
      <c r="C46" s="49" t="s">
        <v>46</v>
      </c>
      <c r="D46" s="49"/>
      <c r="E46" s="23">
        <f>SUM(E47:E51)</f>
        <v>29020</v>
      </c>
      <c r="F46" s="23">
        <f>SUM(F47:F51)</f>
        <v>0</v>
      </c>
      <c r="G46" s="23">
        <f>SUM(G47:G51)</f>
        <v>0</v>
      </c>
      <c r="H46" s="23">
        <f>SUM(H47:H51)</f>
        <v>29020</v>
      </c>
      <c r="I46" s="124"/>
    </row>
    <row r="47" spans="1:256" s="123" customFormat="1" ht="12.75" customHeight="1">
      <c r="A47" s="144"/>
      <c r="B47" s="141"/>
      <c r="C47" s="6">
        <v>4010</v>
      </c>
      <c r="D47" s="126" t="s">
        <v>190</v>
      </c>
      <c r="E47" s="135">
        <v>21900</v>
      </c>
      <c r="F47" s="135"/>
      <c r="G47" s="135"/>
      <c r="H47" s="20">
        <f>E47+F47-G47</f>
        <v>21900</v>
      </c>
      <c r="I47" s="127"/>
      <c r="ID47" s="2"/>
      <c r="IE47" s="2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25" customFormat="1" ht="12.75" customHeight="1">
      <c r="A48" s="144"/>
      <c r="B48" s="141"/>
      <c r="C48" s="6">
        <v>4040</v>
      </c>
      <c r="D48" s="126" t="s">
        <v>196</v>
      </c>
      <c r="E48" s="135">
        <v>2000</v>
      </c>
      <c r="F48" s="135"/>
      <c r="G48" s="135"/>
      <c r="H48" s="20">
        <f>E48+F48-G48</f>
        <v>2000</v>
      </c>
      <c r="I48" s="127"/>
      <c r="ID48" s="2"/>
      <c r="IE48" s="2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9" ht="12.75" customHeight="1">
      <c r="A49" s="144"/>
      <c r="B49" s="141"/>
      <c r="C49" s="6">
        <v>4110</v>
      </c>
      <c r="D49" s="126" t="s">
        <v>192</v>
      </c>
      <c r="E49" s="135">
        <v>3800</v>
      </c>
      <c r="F49" s="135"/>
      <c r="G49" s="135"/>
      <c r="H49" s="20">
        <f>E49+F49-G49</f>
        <v>3800</v>
      </c>
      <c r="I49" s="127"/>
    </row>
    <row r="50" spans="1:9" ht="12.75" customHeight="1">
      <c r="A50" s="144"/>
      <c r="B50" s="141"/>
      <c r="C50" s="6">
        <v>4120</v>
      </c>
      <c r="D50" s="126" t="s">
        <v>197</v>
      </c>
      <c r="E50" s="135">
        <v>520</v>
      </c>
      <c r="F50" s="135"/>
      <c r="G50" s="135"/>
      <c r="H50" s="20">
        <f>E50+F50-G50</f>
        <v>520</v>
      </c>
      <c r="I50" s="127"/>
    </row>
    <row r="51" spans="1:9" ht="12.75" customHeight="1">
      <c r="A51" s="144"/>
      <c r="B51" s="143"/>
      <c r="C51" s="6">
        <v>4440</v>
      </c>
      <c r="D51" s="126" t="s">
        <v>198</v>
      </c>
      <c r="E51" s="135">
        <v>800</v>
      </c>
      <c r="F51" s="135"/>
      <c r="G51" s="135"/>
      <c r="H51" s="20">
        <f>E51+F51-G51</f>
        <v>800</v>
      </c>
      <c r="I51" s="127"/>
    </row>
    <row r="52" spans="1:9" ht="12.75" customHeight="1">
      <c r="A52" s="144"/>
      <c r="B52" s="48">
        <v>75022</v>
      </c>
      <c r="C52" s="49" t="s">
        <v>199</v>
      </c>
      <c r="D52" s="49"/>
      <c r="E52" s="23">
        <f>SUM(E53:E56)</f>
        <v>40000</v>
      </c>
      <c r="F52" s="23">
        <f>SUM(F53:F56)</f>
        <v>0</v>
      </c>
      <c r="G52" s="23">
        <f>SUM(G53:G56)</f>
        <v>0</v>
      </c>
      <c r="H52" s="23">
        <f>SUM(H53:H56)</f>
        <v>40000</v>
      </c>
      <c r="I52" s="124"/>
    </row>
    <row r="53" spans="1:9" ht="12.75" customHeight="1">
      <c r="A53" s="144"/>
      <c r="B53" s="144"/>
      <c r="C53" s="129">
        <v>3030</v>
      </c>
      <c r="D53" s="126" t="s">
        <v>200</v>
      </c>
      <c r="E53" s="50">
        <v>30000</v>
      </c>
      <c r="F53" s="50"/>
      <c r="G53" s="50"/>
      <c r="H53" s="20">
        <f>E53+F53-G53</f>
        <v>30000</v>
      </c>
      <c r="I53" s="127"/>
    </row>
    <row r="54" spans="1:256" s="125" customFormat="1" ht="12.75" customHeight="1">
      <c r="A54" s="144"/>
      <c r="B54" s="144"/>
      <c r="C54" s="129">
        <v>4210</v>
      </c>
      <c r="D54" s="126" t="s">
        <v>176</v>
      </c>
      <c r="E54" s="50">
        <v>4000</v>
      </c>
      <c r="F54" s="50"/>
      <c r="G54" s="50"/>
      <c r="H54" s="20">
        <f>E54+F54-G54</f>
        <v>4000</v>
      </c>
      <c r="I54" s="127"/>
      <c r="ID54" s="2"/>
      <c r="IE54" s="2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9" ht="12.75" customHeight="1">
      <c r="A55" s="144"/>
      <c r="B55" s="144"/>
      <c r="C55" s="129">
        <v>4300</v>
      </c>
      <c r="D55" s="126" t="s">
        <v>194</v>
      </c>
      <c r="E55" s="50">
        <v>5000</v>
      </c>
      <c r="F55" s="50"/>
      <c r="G55" s="50"/>
      <c r="H55" s="20">
        <f>E55+F55-G55</f>
        <v>5000</v>
      </c>
      <c r="I55" s="127"/>
    </row>
    <row r="56" spans="1:9" ht="12.75" customHeight="1">
      <c r="A56" s="144"/>
      <c r="B56" s="52"/>
      <c r="C56" s="129">
        <v>4410</v>
      </c>
      <c r="D56" s="126" t="s">
        <v>201</v>
      </c>
      <c r="E56" s="50">
        <v>1000</v>
      </c>
      <c r="F56" s="50"/>
      <c r="G56" s="50"/>
      <c r="H56" s="20">
        <f>E56+F56-G56</f>
        <v>1000</v>
      </c>
      <c r="I56" s="127"/>
    </row>
    <row r="57" spans="1:9" ht="12.75" customHeight="1">
      <c r="A57" s="144"/>
      <c r="B57" s="48">
        <v>75023</v>
      </c>
      <c r="C57" s="49" t="s">
        <v>202</v>
      </c>
      <c r="D57" s="49"/>
      <c r="E57" s="23">
        <f>SUM(E58:E77)</f>
        <v>973760</v>
      </c>
      <c r="F57" s="23">
        <f>SUM(F58:F77)</f>
        <v>1500</v>
      </c>
      <c r="G57" s="23">
        <f>SUM(G58:G77)</f>
        <v>0</v>
      </c>
      <c r="H57" s="23">
        <f>SUM(H58:H77)</f>
        <v>975260</v>
      </c>
      <c r="I57" s="124"/>
    </row>
    <row r="58" spans="1:9" ht="12.75" customHeight="1">
      <c r="A58" s="144"/>
      <c r="B58" s="144"/>
      <c r="C58" s="6">
        <v>3020</v>
      </c>
      <c r="D58" s="126" t="s">
        <v>203</v>
      </c>
      <c r="E58" s="50">
        <v>2000</v>
      </c>
      <c r="F58" s="50"/>
      <c r="G58" s="50"/>
      <c r="H58" s="20">
        <f>E58+F58-G58</f>
        <v>2000</v>
      </c>
      <c r="I58" s="127"/>
    </row>
    <row r="59" spans="1:9" ht="12.75" customHeight="1">
      <c r="A59" s="144"/>
      <c r="B59" s="144"/>
      <c r="C59" s="70">
        <v>3040</v>
      </c>
      <c r="D59" s="145" t="s">
        <v>204</v>
      </c>
      <c r="E59" s="50">
        <v>6000</v>
      </c>
      <c r="F59" s="50"/>
      <c r="G59" s="50"/>
      <c r="H59" s="20">
        <f>E59+F59-G59</f>
        <v>6000</v>
      </c>
      <c r="I59" s="127"/>
    </row>
    <row r="60" spans="1:9" ht="12.75" customHeight="1">
      <c r="A60" s="144"/>
      <c r="B60" s="133"/>
      <c r="C60" s="129">
        <v>4010</v>
      </c>
      <c r="D60" s="126" t="s">
        <v>190</v>
      </c>
      <c r="E60" s="50">
        <v>608200</v>
      </c>
      <c r="F60" s="50"/>
      <c r="G60" s="50"/>
      <c r="H60" s="20">
        <f>E60+F60-G60</f>
        <v>608200</v>
      </c>
      <c r="I60" s="127"/>
    </row>
    <row r="61" spans="1:9" ht="12.75" customHeight="1">
      <c r="A61" s="144"/>
      <c r="B61" s="133"/>
      <c r="C61" s="129">
        <v>4040</v>
      </c>
      <c r="D61" s="126" t="s">
        <v>196</v>
      </c>
      <c r="E61" s="50">
        <v>45000</v>
      </c>
      <c r="F61" s="50"/>
      <c r="G61" s="50"/>
      <c r="H61" s="20">
        <f>E61+F61-G61</f>
        <v>45000</v>
      </c>
      <c r="I61" s="127"/>
    </row>
    <row r="62" spans="1:9" ht="12.75" customHeight="1">
      <c r="A62" s="144"/>
      <c r="B62" s="133"/>
      <c r="C62" s="129">
        <v>4110</v>
      </c>
      <c r="D62" s="126" t="s">
        <v>192</v>
      </c>
      <c r="E62" s="50">
        <v>111000</v>
      </c>
      <c r="F62" s="50"/>
      <c r="G62" s="50"/>
      <c r="H62" s="20">
        <f>E62+F62-G62</f>
        <v>111000</v>
      </c>
      <c r="I62" s="127"/>
    </row>
    <row r="63" spans="1:9" ht="12.75" customHeight="1">
      <c r="A63" s="144"/>
      <c r="B63" s="133"/>
      <c r="C63" s="129">
        <v>4120</v>
      </c>
      <c r="D63" s="126" t="s">
        <v>197</v>
      </c>
      <c r="E63" s="50">
        <v>15000</v>
      </c>
      <c r="F63" s="50"/>
      <c r="G63" s="50"/>
      <c r="H63" s="20">
        <f>E63+F63-G63</f>
        <v>15000</v>
      </c>
      <c r="I63" s="127"/>
    </row>
    <row r="64" spans="1:9" ht="12.75" customHeight="1">
      <c r="A64" s="144"/>
      <c r="B64" s="133"/>
      <c r="C64" s="70">
        <v>4170</v>
      </c>
      <c r="D64" s="58" t="s">
        <v>175</v>
      </c>
      <c r="E64" s="50">
        <v>13000</v>
      </c>
      <c r="F64" s="50"/>
      <c r="G64" s="50"/>
      <c r="H64" s="20">
        <f>E64+F64-G64</f>
        <v>13000</v>
      </c>
      <c r="I64" s="127"/>
    </row>
    <row r="65" spans="1:9" ht="12.75" customHeight="1">
      <c r="A65" s="144"/>
      <c r="B65" s="133"/>
      <c r="C65" s="129">
        <v>4210</v>
      </c>
      <c r="D65" s="126" t="s">
        <v>176</v>
      </c>
      <c r="E65" s="50">
        <v>50000</v>
      </c>
      <c r="F65" s="50"/>
      <c r="G65" s="50"/>
      <c r="H65" s="20">
        <f>E65+F65-G65</f>
        <v>50000</v>
      </c>
      <c r="I65" s="127"/>
    </row>
    <row r="66" spans="1:9" ht="12.75" customHeight="1">
      <c r="A66" s="144"/>
      <c r="B66" s="133"/>
      <c r="C66" s="129">
        <v>4260</v>
      </c>
      <c r="D66" s="126" t="s">
        <v>205</v>
      </c>
      <c r="E66" s="50">
        <v>5000</v>
      </c>
      <c r="F66" s="50"/>
      <c r="G66" s="50"/>
      <c r="H66" s="20">
        <f>E66+F66-G66</f>
        <v>5000</v>
      </c>
      <c r="I66" s="127"/>
    </row>
    <row r="67" spans="1:9" ht="12.75" customHeight="1">
      <c r="A67" s="144"/>
      <c r="B67" s="133"/>
      <c r="C67" s="129">
        <v>4300</v>
      </c>
      <c r="D67" s="126" t="s">
        <v>194</v>
      </c>
      <c r="E67" s="50">
        <v>45000</v>
      </c>
      <c r="F67" s="50"/>
      <c r="G67" s="50"/>
      <c r="H67" s="20">
        <f>E67+F67-G67</f>
        <v>45000</v>
      </c>
      <c r="I67" s="127"/>
    </row>
    <row r="68" spans="1:9" ht="12.75" customHeight="1">
      <c r="A68" s="144"/>
      <c r="B68" s="133"/>
      <c r="C68" s="129">
        <v>4350</v>
      </c>
      <c r="D68" s="126" t="s">
        <v>206</v>
      </c>
      <c r="E68" s="50">
        <v>1000</v>
      </c>
      <c r="F68" s="50">
        <v>1500</v>
      </c>
      <c r="G68" s="50"/>
      <c r="H68" s="20">
        <f>E68+F68-G68</f>
        <v>2500</v>
      </c>
      <c r="I68" s="127"/>
    </row>
    <row r="69" spans="1:9" ht="12.75" customHeight="1">
      <c r="A69" s="144"/>
      <c r="B69" s="133"/>
      <c r="C69" s="129">
        <v>4360</v>
      </c>
      <c r="D69" s="126" t="s">
        <v>207</v>
      </c>
      <c r="E69" s="50">
        <v>2500</v>
      </c>
      <c r="F69" s="50"/>
      <c r="G69" s="50"/>
      <c r="H69" s="20">
        <f>E69+F69-G69</f>
        <v>2500</v>
      </c>
      <c r="I69" s="127"/>
    </row>
    <row r="70" spans="1:9" ht="12.75" customHeight="1">
      <c r="A70" s="144"/>
      <c r="B70" s="133"/>
      <c r="C70" s="129">
        <v>4370</v>
      </c>
      <c r="D70" s="126" t="s">
        <v>208</v>
      </c>
      <c r="E70" s="50">
        <v>8000</v>
      </c>
      <c r="F70" s="50"/>
      <c r="G70" s="50"/>
      <c r="H70" s="20">
        <f>E70+F70-G70</f>
        <v>8000</v>
      </c>
      <c r="I70" s="127"/>
    </row>
    <row r="71" spans="1:9" ht="12.75" customHeight="1">
      <c r="A71" s="144"/>
      <c r="B71" s="133"/>
      <c r="C71" s="129">
        <v>4410</v>
      </c>
      <c r="D71" s="126" t="s">
        <v>201</v>
      </c>
      <c r="E71" s="50">
        <v>15000</v>
      </c>
      <c r="F71" s="50"/>
      <c r="G71" s="50"/>
      <c r="H71" s="20">
        <f>E71+F71-G71</f>
        <v>15000</v>
      </c>
      <c r="I71" s="127"/>
    </row>
    <row r="72" spans="1:9" ht="12.75" customHeight="1">
      <c r="A72" s="144"/>
      <c r="B72" s="133"/>
      <c r="C72" s="129">
        <v>4430</v>
      </c>
      <c r="D72" s="126" t="s">
        <v>177</v>
      </c>
      <c r="E72" s="50">
        <v>2500</v>
      </c>
      <c r="F72" s="50"/>
      <c r="G72" s="50"/>
      <c r="H72" s="20">
        <f>E72+F72-G72</f>
        <v>2500</v>
      </c>
      <c r="I72" s="127"/>
    </row>
    <row r="73" spans="1:9" ht="12.75" customHeight="1">
      <c r="A73" s="144"/>
      <c r="B73" s="133"/>
      <c r="C73" s="129">
        <v>4440</v>
      </c>
      <c r="D73" s="126" t="s">
        <v>198</v>
      </c>
      <c r="E73" s="50">
        <v>14560</v>
      </c>
      <c r="F73" s="50"/>
      <c r="G73" s="50"/>
      <c r="H73" s="20">
        <f>E73+F73-G73</f>
        <v>14560</v>
      </c>
      <c r="I73" s="127"/>
    </row>
    <row r="74" spans="1:9" ht="12.75" customHeight="1">
      <c r="A74" s="144"/>
      <c r="B74" s="133"/>
      <c r="C74" s="129">
        <v>4700</v>
      </c>
      <c r="D74" s="126" t="s">
        <v>209</v>
      </c>
      <c r="E74" s="50">
        <v>5000</v>
      </c>
      <c r="F74" s="50"/>
      <c r="G74" s="50"/>
      <c r="H74" s="20">
        <f>E74+F74-G74</f>
        <v>5000</v>
      </c>
      <c r="I74" s="127"/>
    </row>
    <row r="75" spans="1:9" ht="24.75">
      <c r="A75" s="144"/>
      <c r="B75" s="133"/>
      <c r="C75" s="129">
        <v>4740</v>
      </c>
      <c r="D75" s="24" t="s">
        <v>210</v>
      </c>
      <c r="E75" s="50">
        <v>5000</v>
      </c>
      <c r="F75" s="50"/>
      <c r="G75" s="50"/>
      <c r="H75" s="20">
        <f>E75+F75-G75</f>
        <v>5000</v>
      </c>
      <c r="I75" s="127"/>
    </row>
    <row r="76" spans="1:9" ht="12.75">
      <c r="A76" s="144"/>
      <c r="B76" s="133"/>
      <c r="C76" s="129">
        <v>4750</v>
      </c>
      <c r="D76" s="24" t="s">
        <v>211</v>
      </c>
      <c r="E76" s="50">
        <v>10000</v>
      </c>
      <c r="F76" s="50"/>
      <c r="G76" s="50"/>
      <c r="H76" s="20">
        <f>E76+F76-G76</f>
        <v>10000</v>
      </c>
      <c r="I76" s="127"/>
    </row>
    <row r="77" spans="1:9" ht="12.75" customHeight="1">
      <c r="A77" s="52"/>
      <c r="B77" s="146"/>
      <c r="C77" s="129">
        <v>6050</v>
      </c>
      <c r="D77" s="126" t="s">
        <v>171</v>
      </c>
      <c r="E77" s="50">
        <v>10000</v>
      </c>
      <c r="F77" s="50"/>
      <c r="G77" s="50"/>
      <c r="H77" s="20">
        <f>E77+F77-G77</f>
        <v>10000</v>
      </c>
      <c r="I77" s="127"/>
    </row>
    <row r="78" spans="1:9" ht="30.75" customHeight="1">
      <c r="A78" s="71">
        <v>751</v>
      </c>
      <c r="B78" s="147" t="s">
        <v>212</v>
      </c>
      <c r="C78" s="147"/>
      <c r="D78" s="147"/>
      <c r="E78" s="121">
        <f>SUM(E79)</f>
        <v>800</v>
      </c>
      <c r="F78" s="121">
        <f>SUM(F79)</f>
        <v>500</v>
      </c>
      <c r="G78" s="121">
        <f>SUM(G79)</f>
        <v>500</v>
      </c>
      <c r="H78" s="121">
        <f>SUM(H79)</f>
        <v>800</v>
      </c>
      <c r="I78" s="122"/>
    </row>
    <row r="79" spans="1:9" ht="12.75">
      <c r="A79" s="144"/>
      <c r="B79" s="48">
        <v>75101</v>
      </c>
      <c r="C79" s="14" t="s">
        <v>213</v>
      </c>
      <c r="D79" s="14"/>
      <c r="E79" s="23">
        <f>SUM(E80:E81)</f>
        <v>800</v>
      </c>
      <c r="F79" s="23">
        <f>SUM(F80:F81)</f>
        <v>500</v>
      </c>
      <c r="G79" s="23">
        <f>SUM(G80:G81)</f>
        <v>500</v>
      </c>
      <c r="H79" s="23">
        <f>SUM(H80:H81)</f>
        <v>800</v>
      </c>
      <c r="I79" s="124"/>
    </row>
    <row r="80" spans="1:9" ht="12.75">
      <c r="A80" s="144"/>
      <c r="B80" s="48"/>
      <c r="C80" s="70">
        <v>4170</v>
      </c>
      <c r="D80" s="58" t="s">
        <v>175</v>
      </c>
      <c r="E80" s="23"/>
      <c r="F80" s="135">
        <v>500</v>
      </c>
      <c r="G80" s="135"/>
      <c r="H80" s="20">
        <f>E80+F80-G80</f>
        <v>500</v>
      </c>
      <c r="I80" s="124"/>
    </row>
    <row r="81" spans="1:256" s="125" customFormat="1" ht="12.75" customHeight="1">
      <c r="A81" s="52"/>
      <c r="B81" s="52"/>
      <c r="C81" s="129">
        <v>4210</v>
      </c>
      <c r="D81" s="126" t="s">
        <v>176</v>
      </c>
      <c r="E81" s="135">
        <v>800</v>
      </c>
      <c r="F81" s="135"/>
      <c r="G81" s="135">
        <v>500</v>
      </c>
      <c r="H81" s="20">
        <f>E81+F81-G81</f>
        <v>300</v>
      </c>
      <c r="I81" s="127"/>
      <c r="ID81" s="2"/>
      <c r="IE81" s="2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23" customFormat="1" ht="15">
      <c r="A82" s="71">
        <v>754</v>
      </c>
      <c r="B82" s="147" t="s">
        <v>51</v>
      </c>
      <c r="C82" s="147"/>
      <c r="D82" s="147"/>
      <c r="E82" s="121">
        <f>SUM(E83,E90,E92)</f>
        <v>84500</v>
      </c>
      <c r="F82" s="121">
        <f>SUM(F83,F90,F92)</f>
        <v>24400</v>
      </c>
      <c r="G82" s="121">
        <f>SUM(G83,G90,G92)</f>
        <v>17465</v>
      </c>
      <c r="H82" s="121">
        <f>SUM(H83,H90,H92)</f>
        <v>91435</v>
      </c>
      <c r="I82" s="122"/>
      <c r="ID82" s="2"/>
      <c r="IE82" s="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25" customFormat="1" ht="12.75" customHeight="1">
      <c r="A83" s="47"/>
      <c r="B83" s="48">
        <v>75412</v>
      </c>
      <c r="C83" s="49" t="s">
        <v>52</v>
      </c>
      <c r="D83" s="49"/>
      <c r="E83" s="23">
        <f>SUM(E84:E89)</f>
        <v>84000</v>
      </c>
      <c r="F83" s="23">
        <f>SUM(F84:F89)</f>
        <v>0</v>
      </c>
      <c r="G83" s="23">
        <f>SUM(G84:G89)</f>
        <v>17465</v>
      </c>
      <c r="H83" s="23">
        <f>SUM(H84:H89)</f>
        <v>66535</v>
      </c>
      <c r="I83" s="124"/>
      <c r="ID83" s="2"/>
      <c r="IE83" s="2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25" customFormat="1" ht="12.75" customHeight="1">
      <c r="A84" s="47"/>
      <c r="B84" s="144"/>
      <c r="C84" s="148">
        <v>3030</v>
      </c>
      <c r="D84" s="149" t="s">
        <v>200</v>
      </c>
      <c r="E84" s="50">
        <v>3000</v>
      </c>
      <c r="F84" s="50"/>
      <c r="G84" s="50"/>
      <c r="H84" s="20">
        <f>E84+F84-G84</f>
        <v>3000</v>
      </c>
      <c r="I84" s="127"/>
      <c r="ID84" s="2"/>
      <c r="IE84" s="2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9" ht="12.75" customHeight="1">
      <c r="A85" s="47"/>
      <c r="B85" s="144"/>
      <c r="C85" s="129">
        <v>4210</v>
      </c>
      <c r="D85" s="126" t="s">
        <v>176</v>
      </c>
      <c r="E85" s="50">
        <v>8000</v>
      </c>
      <c r="F85" s="50"/>
      <c r="G85" s="50"/>
      <c r="H85" s="20">
        <f>E85+F85-G85</f>
        <v>8000</v>
      </c>
      <c r="I85" s="127"/>
    </row>
    <row r="86" spans="1:9" ht="12.75" customHeight="1">
      <c r="A86" s="47"/>
      <c r="B86" s="144"/>
      <c r="C86" s="129">
        <v>4260</v>
      </c>
      <c r="D86" s="126" t="s">
        <v>205</v>
      </c>
      <c r="E86" s="50">
        <v>5000</v>
      </c>
      <c r="F86" s="50"/>
      <c r="G86" s="50"/>
      <c r="H86" s="20">
        <f>E86+F86-G86</f>
        <v>5000</v>
      </c>
      <c r="I86" s="127"/>
    </row>
    <row r="87" spans="1:9" ht="12.75" customHeight="1">
      <c r="A87" s="47"/>
      <c r="B87" s="144"/>
      <c r="C87" s="129">
        <v>4300</v>
      </c>
      <c r="D87" s="126" t="s">
        <v>194</v>
      </c>
      <c r="E87" s="50">
        <v>5000</v>
      </c>
      <c r="F87" s="50"/>
      <c r="G87" s="50"/>
      <c r="H87" s="20">
        <f>E87+F87-G87</f>
        <v>5000</v>
      </c>
      <c r="I87" s="127"/>
    </row>
    <row r="88" spans="1:9" ht="12.75" customHeight="1">
      <c r="A88" s="47"/>
      <c r="B88" s="144"/>
      <c r="C88" s="129">
        <v>4430</v>
      </c>
      <c r="D88" s="126" t="s">
        <v>177</v>
      </c>
      <c r="E88" s="50">
        <v>3000</v>
      </c>
      <c r="F88" s="50"/>
      <c r="G88" s="50"/>
      <c r="H88" s="20">
        <f>E88+F88-G88</f>
        <v>3000</v>
      </c>
      <c r="I88" s="127"/>
    </row>
    <row r="89" spans="1:9" ht="12.75" customHeight="1">
      <c r="A89" s="47"/>
      <c r="B89" s="144"/>
      <c r="C89" s="129">
        <v>6050</v>
      </c>
      <c r="D89" s="126" t="s">
        <v>171</v>
      </c>
      <c r="E89" s="50">
        <v>60000</v>
      </c>
      <c r="F89" s="50"/>
      <c r="G89" s="50">
        <f>20000-2535</f>
        <v>17465</v>
      </c>
      <c r="H89" s="20">
        <f>E89+F89-G89</f>
        <v>42535</v>
      </c>
      <c r="I89" s="127"/>
    </row>
    <row r="90" spans="1:9" ht="12.75" customHeight="1">
      <c r="A90" s="47"/>
      <c r="B90" s="48">
        <v>75414</v>
      </c>
      <c r="C90" s="49" t="s">
        <v>54</v>
      </c>
      <c r="D90" s="49"/>
      <c r="E90" s="23">
        <f>SUM(E91:E91)</f>
        <v>500</v>
      </c>
      <c r="F90" s="23">
        <f>SUM(F91:F91)</f>
        <v>0</v>
      </c>
      <c r="G90" s="23">
        <f>SUM(G91:G91)</f>
        <v>0</v>
      </c>
      <c r="H90" s="23">
        <f>SUM(H91:H91)</f>
        <v>500</v>
      </c>
      <c r="I90" s="124"/>
    </row>
    <row r="91" spans="1:256" s="123" customFormat="1" ht="12.75" customHeight="1">
      <c r="A91" s="47"/>
      <c r="B91" s="52"/>
      <c r="C91" s="6">
        <v>4210</v>
      </c>
      <c r="D91" s="126" t="s">
        <v>176</v>
      </c>
      <c r="E91" s="50">
        <v>500</v>
      </c>
      <c r="F91" s="50"/>
      <c r="G91" s="50"/>
      <c r="H91" s="20">
        <f>E91+F91-G91</f>
        <v>500</v>
      </c>
      <c r="I91" s="127"/>
      <c r="ID91" s="2"/>
      <c r="IE91" s="2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23" customFormat="1" ht="12.75" customHeight="1">
      <c r="A92" s="47"/>
      <c r="B92" s="48">
        <v>75495</v>
      </c>
      <c r="C92" s="49" t="s">
        <v>16</v>
      </c>
      <c r="D92" s="49"/>
      <c r="E92" s="23">
        <f>SUM(E93:E94)</f>
        <v>0</v>
      </c>
      <c r="F92" s="23">
        <f>SUM(F93:F94)</f>
        <v>24400</v>
      </c>
      <c r="G92" s="23">
        <f>SUM(G93:G94)</f>
        <v>0</v>
      </c>
      <c r="H92" s="23">
        <f>SUM(H93:H94)</f>
        <v>24400</v>
      </c>
      <c r="I92" s="127"/>
      <c r="ID92" s="2"/>
      <c r="IE92" s="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23" customFormat="1" ht="12.75" customHeight="1">
      <c r="A93" s="47"/>
      <c r="B93" s="48"/>
      <c r="C93" s="6">
        <v>4210</v>
      </c>
      <c r="D93" s="126" t="s">
        <v>176</v>
      </c>
      <c r="E93" s="50"/>
      <c r="F93" s="50">
        <v>20000</v>
      </c>
      <c r="G93" s="50"/>
      <c r="H93" s="20">
        <f>E93+F93-G93</f>
        <v>20000</v>
      </c>
      <c r="I93" s="127"/>
      <c r="ID93" s="2"/>
      <c r="IE93" s="2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23" customFormat="1" ht="12.75" customHeight="1">
      <c r="A94" s="51"/>
      <c r="B94" s="52"/>
      <c r="C94" s="129">
        <v>4300</v>
      </c>
      <c r="D94" s="126" t="s">
        <v>194</v>
      </c>
      <c r="E94" s="50"/>
      <c r="F94" s="50">
        <f>3200+1200</f>
        <v>4400</v>
      </c>
      <c r="G94" s="50"/>
      <c r="H94" s="20">
        <f>E94+F94-G94</f>
        <v>4400</v>
      </c>
      <c r="I94" s="127"/>
      <c r="ID94" s="2"/>
      <c r="IE94" s="2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23" customFormat="1" ht="45.75" customHeight="1">
      <c r="A95" s="120" t="s">
        <v>55</v>
      </c>
      <c r="B95" s="147" t="s">
        <v>56</v>
      </c>
      <c r="C95" s="147"/>
      <c r="D95" s="147"/>
      <c r="E95" s="121">
        <f>SUM(E96)</f>
        <v>18000</v>
      </c>
      <c r="F95" s="121">
        <f>SUM(F96)</f>
        <v>0</v>
      </c>
      <c r="G95" s="121">
        <f>SUM(G96)</f>
        <v>0</v>
      </c>
      <c r="H95" s="121">
        <f>SUM(H96)</f>
        <v>18000</v>
      </c>
      <c r="I95" s="122"/>
      <c r="ID95" s="2"/>
      <c r="IE95" s="2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23" customFormat="1" ht="12.75" customHeight="1">
      <c r="A96" s="45"/>
      <c r="B96" s="150">
        <v>75647</v>
      </c>
      <c r="C96" s="151" t="s">
        <v>214</v>
      </c>
      <c r="D96" s="151"/>
      <c r="E96" s="23">
        <f>SUM(E97:E98)</f>
        <v>18000</v>
      </c>
      <c r="F96" s="23">
        <f>SUM(F97:F98)</f>
        <v>0</v>
      </c>
      <c r="G96" s="23">
        <f>SUM(G97:G98)</f>
        <v>0</v>
      </c>
      <c r="H96" s="23">
        <f>SUM(H97:H98)</f>
        <v>18000</v>
      </c>
      <c r="I96" s="124"/>
      <c r="ID96" s="2"/>
      <c r="IE96" s="2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123" customFormat="1" ht="12.75" customHeight="1">
      <c r="A97" s="45"/>
      <c r="B97" s="152"/>
      <c r="C97" s="6">
        <v>4100</v>
      </c>
      <c r="D97" s="142" t="s">
        <v>191</v>
      </c>
      <c r="E97" s="50">
        <v>16500</v>
      </c>
      <c r="F97" s="50"/>
      <c r="G97" s="50"/>
      <c r="H97" s="20">
        <f>E97+F97-G97</f>
        <v>16500</v>
      </c>
      <c r="I97" s="127"/>
      <c r="ID97" s="2"/>
      <c r="IE97" s="2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123" customFormat="1" ht="12.75" customHeight="1">
      <c r="A98" s="45"/>
      <c r="B98" s="152"/>
      <c r="C98" s="129">
        <v>4300</v>
      </c>
      <c r="D98" s="126" t="s">
        <v>194</v>
      </c>
      <c r="E98" s="50">
        <v>1500</v>
      </c>
      <c r="F98" s="50"/>
      <c r="G98" s="50"/>
      <c r="H98" s="20">
        <f>E98+F98-G98</f>
        <v>1500</v>
      </c>
      <c r="I98" s="127"/>
      <c r="ID98" s="2"/>
      <c r="IE98" s="2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125" customFormat="1" ht="13.5">
      <c r="A99" s="71">
        <v>757</v>
      </c>
      <c r="B99" s="72" t="s">
        <v>215</v>
      </c>
      <c r="C99" s="72"/>
      <c r="D99" s="72"/>
      <c r="E99" s="121">
        <f>SUM(E100)</f>
        <v>20000</v>
      </c>
      <c r="F99" s="121">
        <f>SUM(F100)</f>
        <v>0</v>
      </c>
      <c r="G99" s="121">
        <f>SUM(G100)</f>
        <v>0</v>
      </c>
      <c r="H99" s="121">
        <f>SUM(H100)</f>
        <v>20000</v>
      </c>
      <c r="I99" s="122"/>
      <c r="ID99" s="2"/>
      <c r="IE99" s="2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9" ht="12.75" customHeight="1">
      <c r="A100" s="47"/>
      <c r="B100" s="74">
        <v>75702</v>
      </c>
      <c r="C100" s="153" t="s">
        <v>216</v>
      </c>
      <c r="D100" s="153"/>
      <c r="E100" s="23">
        <f>SUM(E101)</f>
        <v>20000</v>
      </c>
      <c r="F100" s="23">
        <f>SUM(F101)</f>
        <v>0</v>
      </c>
      <c r="G100" s="23">
        <f>SUM(G101)</f>
        <v>0</v>
      </c>
      <c r="H100" s="23">
        <f>SUM(H101)</f>
        <v>20000</v>
      </c>
      <c r="I100" s="124"/>
    </row>
    <row r="101" spans="1:256" s="123" customFormat="1" ht="26.25" customHeight="1">
      <c r="A101" s="51"/>
      <c r="B101" s="154"/>
      <c r="C101" s="6">
        <v>8070</v>
      </c>
      <c r="D101" s="24" t="s">
        <v>217</v>
      </c>
      <c r="E101" s="50">
        <v>20000</v>
      </c>
      <c r="F101" s="50"/>
      <c r="G101" s="50"/>
      <c r="H101" s="20">
        <f>E101+F101-G101</f>
        <v>20000</v>
      </c>
      <c r="I101" s="127"/>
      <c r="ID101" s="2"/>
      <c r="IE101" s="2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125" customFormat="1" ht="15.75" customHeight="1">
      <c r="A102" s="71">
        <v>758</v>
      </c>
      <c r="B102" s="72" t="s">
        <v>98</v>
      </c>
      <c r="C102" s="72"/>
      <c r="D102" s="72"/>
      <c r="E102" s="121">
        <f>SUM(E103)</f>
        <v>60000</v>
      </c>
      <c r="F102" s="121">
        <f>SUM(F103)</f>
        <v>0</v>
      </c>
      <c r="G102" s="121">
        <f>SUM(G103)</f>
        <v>0</v>
      </c>
      <c r="H102" s="121">
        <f>SUM(H103)</f>
        <v>60000</v>
      </c>
      <c r="I102" s="122"/>
      <c r="ID102" s="2"/>
      <c r="IE102" s="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9" ht="15">
      <c r="A103" s="47"/>
      <c r="B103" s="48">
        <v>75818</v>
      </c>
      <c r="C103" s="49" t="s">
        <v>218</v>
      </c>
      <c r="D103" s="49"/>
      <c r="E103" s="23">
        <f>SUM(E104)</f>
        <v>60000</v>
      </c>
      <c r="F103" s="23">
        <f>SUM(F104)</f>
        <v>0</v>
      </c>
      <c r="G103" s="23">
        <f>SUM(G104)</f>
        <v>0</v>
      </c>
      <c r="H103" s="23">
        <f>SUM(H104)</f>
        <v>60000</v>
      </c>
      <c r="I103" s="124"/>
    </row>
    <row r="104" spans="1:256" s="123" customFormat="1" ht="15">
      <c r="A104" s="51"/>
      <c r="B104" s="52"/>
      <c r="C104" s="6">
        <v>4810</v>
      </c>
      <c r="D104" s="126" t="s">
        <v>219</v>
      </c>
      <c r="E104" s="19">
        <v>60000</v>
      </c>
      <c r="F104" s="19"/>
      <c r="G104" s="19"/>
      <c r="H104" s="20">
        <f>E104+F104-G104</f>
        <v>60000</v>
      </c>
      <c r="I104" s="127"/>
      <c r="ID104" s="2"/>
      <c r="IE104" s="2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123" customFormat="1" ht="15">
      <c r="A105" s="71">
        <v>801</v>
      </c>
      <c r="B105" s="72" t="s">
        <v>111</v>
      </c>
      <c r="C105" s="72"/>
      <c r="D105" s="72"/>
      <c r="E105" s="121">
        <f>SUM(E106,E125,E134,E153,E162,E166)</f>
        <v>2261399</v>
      </c>
      <c r="F105" s="121">
        <f>SUM(F106,F125,F134,F153,F162,F166)</f>
        <v>2500</v>
      </c>
      <c r="G105" s="121">
        <f>SUM(G106,G125,G134,G153,G162,G166)</f>
        <v>2500</v>
      </c>
      <c r="H105" s="121">
        <f>SUM(H106,H125,H134,H153,H162,H166)</f>
        <v>2261399</v>
      </c>
      <c r="I105" s="122"/>
      <c r="ID105" s="2"/>
      <c r="IE105" s="2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123" customFormat="1" ht="12.75" customHeight="1">
      <c r="A106" s="47"/>
      <c r="B106" s="74">
        <v>80101</v>
      </c>
      <c r="C106" s="75" t="s">
        <v>112</v>
      </c>
      <c r="D106" s="75"/>
      <c r="E106" s="155">
        <f>SUM(E107:E124)</f>
        <v>1230480</v>
      </c>
      <c r="F106" s="155">
        <f>SUM(F107:F124)</f>
        <v>500</v>
      </c>
      <c r="G106" s="155">
        <f>SUM(G107:G124)</f>
        <v>500</v>
      </c>
      <c r="H106" s="155">
        <f>SUM(H107:H124)</f>
        <v>1230480</v>
      </c>
      <c r="I106" s="156"/>
      <c r="ID106" s="2"/>
      <c r="IE106" s="2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123" customFormat="1" ht="12.75" customHeight="1">
      <c r="A107" s="47"/>
      <c r="B107" s="141"/>
      <c r="C107" s="6">
        <v>3020</v>
      </c>
      <c r="D107" s="157" t="s">
        <v>203</v>
      </c>
      <c r="E107" s="19">
        <f>2a!E5+2a!E24</f>
        <v>69700</v>
      </c>
      <c r="F107" s="19">
        <f>2a!F5+2a!F24</f>
        <v>0</v>
      </c>
      <c r="G107" s="19">
        <f>2a!G5+2a!G24</f>
        <v>0</v>
      </c>
      <c r="H107" s="19">
        <f>2a!H5+2a!H24</f>
        <v>69700</v>
      </c>
      <c r="I107" s="158"/>
      <c r="ID107" s="2"/>
      <c r="IE107" s="2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123" customFormat="1" ht="12.75" customHeight="1">
      <c r="A108" s="47"/>
      <c r="B108" s="141"/>
      <c r="C108" s="129">
        <v>3040</v>
      </c>
      <c r="D108" s="159" t="s">
        <v>204</v>
      </c>
      <c r="E108" s="19">
        <f>2a!E6+2a!E25</f>
        <v>7500</v>
      </c>
      <c r="F108" s="19">
        <f>2a!F6+2a!F25</f>
        <v>0</v>
      </c>
      <c r="G108" s="19">
        <f>2a!G6+2a!G25</f>
        <v>0</v>
      </c>
      <c r="H108" s="19">
        <f>2a!H6+2a!H25</f>
        <v>7500</v>
      </c>
      <c r="I108" s="158"/>
      <c r="ID108" s="2"/>
      <c r="IE108" s="2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123" customFormat="1" ht="12.75" customHeight="1">
      <c r="A109" s="47"/>
      <c r="B109" s="141"/>
      <c r="C109" s="6">
        <v>4010</v>
      </c>
      <c r="D109" s="157" t="s">
        <v>190</v>
      </c>
      <c r="E109" s="19">
        <f>2a!E7+2a!E26</f>
        <v>738310</v>
      </c>
      <c r="F109" s="19">
        <f>2a!F7+2a!F26</f>
        <v>0</v>
      </c>
      <c r="G109" s="19">
        <f>2a!G7+2a!G26</f>
        <v>0</v>
      </c>
      <c r="H109" s="19">
        <f>2a!H7+2a!H26</f>
        <v>738310</v>
      </c>
      <c r="I109" s="158"/>
      <c r="ID109" s="2"/>
      <c r="IE109" s="2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123" customFormat="1" ht="12.75" customHeight="1">
      <c r="A110" s="47"/>
      <c r="B110" s="141"/>
      <c r="C110" s="6">
        <v>4040</v>
      </c>
      <c r="D110" s="157" t="s">
        <v>220</v>
      </c>
      <c r="E110" s="19">
        <f>2a!E8+2a!E27</f>
        <v>60200</v>
      </c>
      <c r="F110" s="19">
        <f>2a!F8+2a!F27</f>
        <v>0</v>
      </c>
      <c r="G110" s="19">
        <f>2a!G8+2a!G27</f>
        <v>0</v>
      </c>
      <c r="H110" s="19">
        <f>2a!H8+2a!H27</f>
        <v>60200</v>
      </c>
      <c r="I110" s="158"/>
      <c r="ID110" s="2"/>
      <c r="IE110" s="2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123" customFormat="1" ht="12.75" customHeight="1">
      <c r="A111" s="47"/>
      <c r="B111" s="141"/>
      <c r="C111" s="6">
        <v>4110</v>
      </c>
      <c r="D111" s="157" t="s">
        <v>192</v>
      </c>
      <c r="E111" s="19">
        <f>2a!E9+2a!E28</f>
        <v>140400</v>
      </c>
      <c r="F111" s="19">
        <f>2a!F9+2a!F28</f>
        <v>0</v>
      </c>
      <c r="G111" s="19">
        <f>2a!G9+2a!G28</f>
        <v>0</v>
      </c>
      <c r="H111" s="19">
        <f>2a!H9+2a!H28</f>
        <v>140400</v>
      </c>
      <c r="I111" s="158"/>
      <c r="ID111" s="2"/>
      <c r="IE111" s="2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123" customFormat="1" ht="12.75" customHeight="1">
      <c r="A112" s="47"/>
      <c r="B112" s="141"/>
      <c r="C112" s="6">
        <v>4120</v>
      </c>
      <c r="D112" s="157" t="s">
        <v>197</v>
      </c>
      <c r="E112" s="19">
        <f>2a!E10+2a!E29</f>
        <v>20200</v>
      </c>
      <c r="F112" s="19">
        <f>2a!F10+2a!F29</f>
        <v>0</v>
      </c>
      <c r="G112" s="19">
        <f>2a!G10+2a!G29</f>
        <v>0</v>
      </c>
      <c r="H112" s="19">
        <f>2a!H10+2a!H29</f>
        <v>20200</v>
      </c>
      <c r="I112" s="158"/>
      <c r="ID112" s="2"/>
      <c r="IE112" s="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123" customFormat="1" ht="12.75" customHeight="1">
      <c r="A113" s="47"/>
      <c r="B113" s="141"/>
      <c r="C113" s="6">
        <v>4210</v>
      </c>
      <c r="D113" s="157" t="s">
        <v>176</v>
      </c>
      <c r="E113" s="19">
        <f>2a!E11+2a!E30</f>
        <v>76000</v>
      </c>
      <c r="F113" s="19">
        <f>2a!F11+2a!F30</f>
        <v>0</v>
      </c>
      <c r="G113" s="19">
        <f>2a!G11+2a!G30</f>
        <v>0</v>
      </c>
      <c r="H113" s="19">
        <f>2a!H11+2a!H30</f>
        <v>76000</v>
      </c>
      <c r="I113" s="158"/>
      <c r="ID113" s="2"/>
      <c r="IE113" s="2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123" customFormat="1" ht="12.75" customHeight="1">
      <c r="A114" s="47"/>
      <c r="B114" s="141"/>
      <c r="C114" s="6">
        <v>4240</v>
      </c>
      <c r="D114" s="157" t="s">
        <v>221</v>
      </c>
      <c r="E114" s="19">
        <f>2a!E12+2a!E31</f>
        <v>1500</v>
      </c>
      <c r="F114" s="19">
        <f>2a!F12+2a!F31</f>
        <v>0</v>
      </c>
      <c r="G114" s="19">
        <f>2a!G12+2a!G31</f>
        <v>0</v>
      </c>
      <c r="H114" s="19">
        <f>2a!H12+2a!H31</f>
        <v>1500</v>
      </c>
      <c r="I114" s="158"/>
      <c r="ID114" s="2"/>
      <c r="IE114" s="2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123" customFormat="1" ht="12.75" customHeight="1">
      <c r="A115" s="47"/>
      <c r="B115" s="141"/>
      <c r="C115" s="6">
        <v>4260</v>
      </c>
      <c r="D115" s="157" t="s">
        <v>205</v>
      </c>
      <c r="E115" s="19">
        <f>2a!E13+2a!E32</f>
        <v>12000</v>
      </c>
      <c r="F115" s="19">
        <f>2a!F13+2a!F32</f>
        <v>0</v>
      </c>
      <c r="G115" s="19">
        <f>2a!G13+2a!G32</f>
        <v>0</v>
      </c>
      <c r="H115" s="19">
        <f>2a!H13+2a!H32</f>
        <v>12000</v>
      </c>
      <c r="I115" s="158"/>
      <c r="ID115" s="2"/>
      <c r="IE115" s="2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123" customFormat="1" ht="12.75" customHeight="1">
      <c r="A116" s="47"/>
      <c r="B116" s="141"/>
      <c r="C116" s="129">
        <v>4270</v>
      </c>
      <c r="D116" s="126" t="s">
        <v>222</v>
      </c>
      <c r="E116" s="19">
        <f>2a!E14+2a!E33</f>
        <v>20000</v>
      </c>
      <c r="F116" s="19">
        <f>2a!F14+2a!F33</f>
        <v>0</v>
      </c>
      <c r="G116" s="19">
        <f>2a!G14+2a!G33</f>
        <v>0</v>
      </c>
      <c r="H116" s="19">
        <f>2a!H14+2a!H33</f>
        <v>20000</v>
      </c>
      <c r="I116" s="158"/>
      <c r="ID116" s="2"/>
      <c r="IE116" s="2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123" customFormat="1" ht="12.75" customHeight="1">
      <c r="A117" s="47"/>
      <c r="B117" s="141"/>
      <c r="C117" s="6">
        <v>4300</v>
      </c>
      <c r="D117" s="157" t="s">
        <v>194</v>
      </c>
      <c r="E117" s="19">
        <f>2a!E15+2a!E34</f>
        <v>20000</v>
      </c>
      <c r="F117" s="19">
        <f>2a!F15+2a!F34</f>
        <v>0</v>
      </c>
      <c r="G117" s="19">
        <f>2a!G15+2a!G34</f>
        <v>0</v>
      </c>
      <c r="H117" s="19">
        <f>2a!H15+2a!H34</f>
        <v>20000</v>
      </c>
      <c r="I117" s="158"/>
      <c r="ID117" s="2"/>
      <c r="IE117" s="2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123" customFormat="1" ht="12.75" customHeight="1">
      <c r="A118" s="47"/>
      <c r="B118" s="141"/>
      <c r="C118" s="129">
        <v>4350</v>
      </c>
      <c r="D118" s="126" t="s">
        <v>206</v>
      </c>
      <c r="E118" s="19">
        <f>2a!E16+2a!E35</f>
        <v>2500</v>
      </c>
      <c r="F118" s="19">
        <f>2a!F16+2a!F35</f>
        <v>0</v>
      </c>
      <c r="G118" s="19">
        <f>2a!G16+2a!G35</f>
        <v>500</v>
      </c>
      <c r="H118" s="19">
        <f>2a!H16+2a!H35</f>
        <v>2000</v>
      </c>
      <c r="I118" s="158"/>
      <c r="ID118" s="2"/>
      <c r="IE118" s="2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123" customFormat="1" ht="12.75" customHeight="1">
      <c r="A119" s="47"/>
      <c r="B119" s="141"/>
      <c r="C119" s="129">
        <v>4370</v>
      </c>
      <c r="D119" s="126" t="s">
        <v>208</v>
      </c>
      <c r="E119" s="19">
        <f>2a!E17+2a!E36</f>
        <v>4000</v>
      </c>
      <c r="F119" s="19">
        <f>2a!F17+2a!F36</f>
        <v>0</v>
      </c>
      <c r="G119" s="19">
        <f>2a!G17+2a!G36</f>
        <v>0</v>
      </c>
      <c r="H119" s="19">
        <f>2a!H17+2a!H36</f>
        <v>4000</v>
      </c>
      <c r="I119" s="158"/>
      <c r="ID119" s="2"/>
      <c r="IE119" s="2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123" customFormat="1" ht="12.75" customHeight="1">
      <c r="A120" s="47"/>
      <c r="B120" s="141"/>
      <c r="C120" s="6">
        <v>4410</v>
      </c>
      <c r="D120" s="157" t="s">
        <v>201</v>
      </c>
      <c r="E120" s="19">
        <f>2a!E18+2a!E37</f>
        <v>1000</v>
      </c>
      <c r="F120" s="19">
        <f>2a!F18+2a!F37</f>
        <v>500</v>
      </c>
      <c r="G120" s="19">
        <f>2a!G18+2a!G37</f>
        <v>0</v>
      </c>
      <c r="H120" s="19">
        <f>2a!H18+2a!H37</f>
        <v>1500</v>
      </c>
      <c r="I120" s="158"/>
      <c r="ID120" s="2"/>
      <c r="IE120" s="2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123" customFormat="1" ht="12.75" customHeight="1">
      <c r="A121" s="47"/>
      <c r="B121" s="141"/>
      <c r="C121" s="6">
        <v>4430</v>
      </c>
      <c r="D121" s="157" t="s">
        <v>177</v>
      </c>
      <c r="E121" s="19">
        <f>2a!E19+2a!E38</f>
        <v>1000</v>
      </c>
      <c r="F121" s="19">
        <f>2a!F19+2a!F38</f>
        <v>0</v>
      </c>
      <c r="G121" s="19">
        <f>2a!G19+2a!G38</f>
        <v>0</v>
      </c>
      <c r="H121" s="19">
        <f>2a!H19+2a!H38</f>
        <v>1000</v>
      </c>
      <c r="I121" s="158"/>
      <c r="ID121" s="2"/>
      <c r="IE121" s="2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123" customFormat="1" ht="12.75" customHeight="1">
      <c r="A122" s="47"/>
      <c r="B122" s="141"/>
      <c r="C122" s="6">
        <v>4440</v>
      </c>
      <c r="D122" s="126" t="s">
        <v>198</v>
      </c>
      <c r="E122" s="19">
        <f>2a!E20+2a!E39</f>
        <v>49170</v>
      </c>
      <c r="F122" s="19">
        <f>2a!F20+2a!F39</f>
        <v>0</v>
      </c>
      <c r="G122" s="19">
        <f>2a!G20+2a!G39</f>
        <v>0</v>
      </c>
      <c r="H122" s="19">
        <f>2a!H20+2a!H39</f>
        <v>49170</v>
      </c>
      <c r="I122" s="158"/>
      <c r="ID122" s="2"/>
      <c r="IE122" s="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123" customFormat="1" ht="24.75">
      <c r="A123" s="47"/>
      <c r="B123" s="141"/>
      <c r="C123" s="129">
        <v>4740</v>
      </c>
      <c r="D123" s="24" t="s">
        <v>210</v>
      </c>
      <c r="E123" s="19">
        <f>2a!E21+2a!E40</f>
        <v>2400</v>
      </c>
      <c r="F123" s="19">
        <f>2a!F21+2a!F40</f>
        <v>0</v>
      </c>
      <c r="G123" s="19">
        <f>2a!G21+2a!G40</f>
        <v>0</v>
      </c>
      <c r="H123" s="19">
        <f>2a!H21+2a!H40</f>
        <v>2400</v>
      </c>
      <c r="I123" s="158"/>
      <c r="ID123" s="2"/>
      <c r="IE123" s="2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125" customFormat="1" ht="12.75" customHeight="1">
      <c r="A124" s="47"/>
      <c r="B124" s="143"/>
      <c r="C124" s="129">
        <v>4750</v>
      </c>
      <c r="D124" s="24" t="s">
        <v>211</v>
      </c>
      <c r="E124" s="19">
        <f>2a!E22+2a!E41</f>
        <v>4600</v>
      </c>
      <c r="F124" s="19">
        <f>2a!F22+2a!F41</f>
        <v>0</v>
      </c>
      <c r="G124" s="19">
        <f>2a!G22+2a!G41</f>
        <v>0</v>
      </c>
      <c r="H124" s="19">
        <f>2a!H22+2a!H41</f>
        <v>4600</v>
      </c>
      <c r="I124" s="158"/>
      <c r="ID124" s="2"/>
      <c r="IE124" s="2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9" ht="12.75" customHeight="1">
      <c r="A125" s="133"/>
      <c r="B125" s="48">
        <v>80104</v>
      </c>
      <c r="C125" s="160" t="s">
        <v>223</v>
      </c>
      <c r="D125" s="160"/>
      <c r="E125" s="155">
        <f>SUM(E126:E133)</f>
        <v>81286</v>
      </c>
      <c r="F125" s="155">
        <f>SUM(F126:F133)</f>
        <v>0</v>
      </c>
      <c r="G125" s="155">
        <f>SUM(G126:G133)</f>
        <v>0</v>
      </c>
      <c r="H125" s="155">
        <f>SUM(H126:H133)</f>
        <v>81286</v>
      </c>
      <c r="I125" s="156"/>
    </row>
    <row r="126" spans="1:9" ht="12.75" customHeight="1">
      <c r="A126" s="133"/>
      <c r="B126" s="144"/>
      <c r="C126" s="6">
        <v>3020</v>
      </c>
      <c r="D126" s="157" t="s">
        <v>203</v>
      </c>
      <c r="E126" s="19">
        <f>2a!E43+2a!E52</f>
        <v>5100</v>
      </c>
      <c r="F126" s="19">
        <f>2a!F43+2a!F52</f>
        <v>0</v>
      </c>
      <c r="G126" s="19">
        <f>2a!G43+2a!G52</f>
        <v>0</v>
      </c>
      <c r="H126" s="19">
        <f>2a!H43+2a!H52</f>
        <v>5100</v>
      </c>
      <c r="I126" s="158"/>
    </row>
    <row r="127" spans="1:9" ht="12.75" customHeight="1">
      <c r="A127" s="133"/>
      <c r="B127" s="161"/>
      <c r="C127" s="129">
        <v>3040</v>
      </c>
      <c r="D127" s="159" t="s">
        <v>204</v>
      </c>
      <c r="E127" s="19">
        <f>2a!E44+2a!E53</f>
        <v>1000</v>
      </c>
      <c r="F127" s="19">
        <f>2a!F44+2a!F53</f>
        <v>0</v>
      </c>
      <c r="G127" s="19">
        <f>2a!G44+2a!G53</f>
        <v>0</v>
      </c>
      <c r="H127" s="19">
        <f>2a!H44+2a!H53</f>
        <v>1000</v>
      </c>
      <c r="I127" s="158"/>
    </row>
    <row r="128" spans="1:9" ht="12.75" customHeight="1">
      <c r="A128" s="133"/>
      <c r="B128" s="161"/>
      <c r="C128" s="6">
        <v>4010</v>
      </c>
      <c r="D128" s="157" t="s">
        <v>190</v>
      </c>
      <c r="E128" s="19">
        <f>2a!E45+2a!E54</f>
        <v>53200</v>
      </c>
      <c r="F128" s="19">
        <f>2a!F45+2a!F54</f>
        <v>0</v>
      </c>
      <c r="G128" s="19">
        <f>2a!G45+2a!G54</f>
        <v>0</v>
      </c>
      <c r="H128" s="19">
        <f>2a!H45+2a!H54</f>
        <v>53200</v>
      </c>
      <c r="I128" s="158"/>
    </row>
    <row r="129" spans="1:9" ht="12.75" customHeight="1">
      <c r="A129" s="133"/>
      <c r="B129" s="161"/>
      <c r="C129" s="6">
        <v>4040</v>
      </c>
      <c r="D129" s="157" t="s">
        <v>196</v>
      </c>
      <c r="E129" s="19">
        <f>2a!E46+2a!E55</f>
        <v>6050</v>
      </c>
      <c r="F129" s="19">
        <f>2a!F46+2a!F55</f>
        <v>0</v>
      </c>
      <c r="G129" s="19">
        <f>2a!G46+2a!G55</f>
        <v>0</v>
      </c>
      <c r="H129" s="19">
        <f>2a!H46+2a!H55</f>
        <v>6050</v>
      </c>
      <c r="I129" s="158"/>
    </row>
    <row r="130" spans="1:9" ht="12.75" customHeight="1">
      <c r="A130" s="133"/>
      <c r="B130" s="161"/>
      <c r="C130" s="6">
        <v>4110</v>
      </c>
      <c r="D130" s="157" t="s">
        <v>192</v>
      </c>
      <c r="E130" s="19">
        <f>2a!E47+2a!E56</f>
        <v>10300</v>
      </c>
      <c r="F130" s="19">
        <f>2a!F47+2a!F56</f>
        <v>0</v>
      </c>
      <c r="G130" s="19">
        <f>2a!G47+2a!G56</f>
        <v>0</v>
      </c>
      <c r="H130" s="19">
        <f>2a!H47+2a!H56</f>
        <v>10300</v>
      </c>
      <c r="I130" s="158"/>
    </row>
    <row r="131" spans="1:9" ht="12.75" customHeight="1">
      <c r="A131" s="133"/>
      <c r="B131" s="161"/>
      <c r="C131" s="6">
        <v>4120</v>
      </c>
      <c r="D131" s="157" t="s">
        <v>197</v>
      </c>
      <c r="E131" s="19">
        <f>2a!E48+2a!E57</f>
        <v>1470</v>
      </c>
      <c r="F131" s="19">
        <f>2a!F48+2a!F57</f>
        <v>0</v>
      </c>
      <c r="G131" s="19">
        <f>2a!G48+2a!G57</f>
        <v>0</v>
      </c>
      <c r="H131" s="19">
        <f>2a!H48+2a!H57</f>
        <v>1470</v>
      </c>
      <c r="I131" s="158"/>
    </row>
    <row r="132" spans="1:9" ht="12.75" customHeight="1">
      <c r="A132" s="133"/>
      <c r="B132" s="161"/>
      <c r="C132" s="6">
        <v>4410</v>
      </c>
      <c r="D132" s="157" t="s">
        <v>201</v>
      </c>
      <c r="E132" s="19">
        <f>2a!E49+2a!E58</f>
        <v>200</v>
      </c>
      <c r="F132" s="19">
        <f>2a!F49+2a!F58</f>
        <v>0</v>
      </c>
      <c r="G132" s="19">
        <f>2a!G49+2a!G58</f>
        <v>0</v>
      </c>
      <c r="H132" s="19">
        <f>2a!H49+2a!H58</f>
        <v>200</v>
      </c>
      <c r="I132" s="158"/>
    </row>
    <row r="133" spans="1:9" ht="12.75" customHeight="1">
      <c r="A133" s="146"/>
      <c r="B133" s="162"/>
      <c r="C133" s="6">
        <v>4440</v>
      </c>
      <c r="D133" s="157" t="s">
        <v>198</v>
      </c>
      <c r="E133" s="19">
        <f>2a!E50+2a!E59</f>
        <v>3966</v>
      </c>
      <c r="F133" s="19">
        <f>2a!F50+2a!F59</f>
        <v>0</v>
      </c>
      <c r="G133" s="19">
        <f>2a!G50+2a!G59</f>
        <v>0</v>
      </c>
      <c r="H133" s="19">
        <f>2a!H50+2a!H59</f>
        <v>3966</v>
      </c>
      <c r="I133" s="158"/>
    </row>
    <row r="134" spans="1:9" ht="12.75" customHeight="1">
      <c r="A134" s="163"/>
      <c r="B134" s="48">
        <v>80110</v>
      </c>
      <c r="C134" s="49" t="s">
        <v>224</v>
      </c>
      <c r="D134" s="49"/>
      <c r="E134" s="155">
        <f>SUM(E135:E152)</f>
        <v>676550</v>
      </c>
      <c r="F134" s="155">
        <f>SUM(F135:F152)</f>
        <v>0</v>
      </c>
      <c r="G134" s="155">
        <f>SUM(G135:G152)</f>
        <v>0</v>
      </c>
      <c r="H134" s="155">
        <f>SUM(H135:H152)</f>
        <v>676550</v>
      </c>
      <c r="I134" s="156"/>
    </row>
    <row r="135" spans="1:9" ht="12.75" customHeight="1">
      <c r="A135" s="133"/>
      <c r="B135" s="136"/>
      <c r="C135" s="6">
        <v>3020</v>
      </c>
      <c r="D135" s="126" t="s">
        <v>203</v>
      </c>
      <c r="E135" s="19">
        <f>2a!E61</f>
        <v>39000</v>
      </c>
      <c r="F135" s="19">
        <f>2a!F61</f>
        <v>0</v>
      </c>
      <c r="G135" s="19">
        <f>2a!G61</f>
        <v>0</v>
      </c>
      <c r="H135" s="19">
        <f>2a!H61</f>
        <v>39000</v>
      </c>
      <c r="I135" s="158"/>
    </row>
    <row r="136" spans="1:9" ht="12.75" customHeight="1">
      <c r="A136" s="133"/>
      <c r="B136" s="136"/>
      <c r="C136" s="129">
        <v>3040</v>
      </c>
      <c r="D136" s="159" t="s">
        <v>204</v>
      </c>
      <c r="E136" s="19">
        <f>2a!E62</f>
        <v>4000</v>
      </c>
      <c r="F136" s="19">
        <f>2a!F62</f>
        <v>0</v>
      </c>
      <c r="G136" s="19">
        <f>2a!G62</f>
        <v>0</v>
      </c>
      <c r="H136" s="19">
        <f>2a!H62</f>
        <v>4000</v>
      </c>
      <c r="I136" s="158"/>
    </row>
    <row r="137" spans="1:9" ht="12.75" customHeight="1">
      <c r="A137" s="133"/>
      <c r="B137" s="136"/>
      <c r="C137" s="6">
        <v>4010</v>
      </c>
      <c r="D137" s="126" t="s">
        <v>190</v>
      </c>
      <c r="E137" s="19">
        <f>2a!E63</f>
        <v>410700</v>
      </c>
      <c r="F137" s="19">
        <f>2a!F63</f>
        <v>0</v>
      </c>
      <c r="G137" s="19">
        <f>2a!G63</f>
        <v>0</v>
      </c>
      <c r="H137" s="19">
        <f>2a!H63</f>
        <v>410700</v>
      </c>
      <c r="I137" s="158"/>
    </row>
    <row r="138" spans="1:9" ht="12.75" customHeight="1">
      <c r="A138" s="133"/>
      <c r="B138" s="136"/>
      <c r="C138" s="6">
        <v>4040</v>
      </c>
      <c r="D138" s="126" t="s">
        <v>196</v>
      </c>
      <c r="E138" s="19">
        <f>2a!E64</f>
        <v>32600</v>
      </c>
      <c r="F138" s="19">
        <f>2a!F64</f>
        <v>0</v>
      </c>
      <c r="G138" s="19">
        <f>2a!G64</f>
        <v>0</v>
      </c>
      <c r="H138" s="19">
        <f>2a!H64</f>
        <v>32600</v>
      </c>
      <c r="I138" s="158"/>
    </row>
    <row r="139" spans="1:256" s="125" customFormat="1" ht="12.75" customHeight="1">
      <c r="A139" s="133"/>
      <c r="B139" s="136"/>
      <c r="C139" s="6">
        <v>4110</v>
      </c>
      <c r="D139" s="126" t="s">
        <v>192</v>
      </c>
      <c r="E139" s="19">
        <f>2a!E65</f>
        <v>80600</v>
      </c>
      <c r="F139" s="19">
        <f>2a!F65</f>
        <v>0</v>
      </c>
      <c r="G139" s="19">
        <f>2a!G65</f>
        <v>0</v>
      </c>
      <c r="H139" s="19">
        <f>2a!H65</f>
        <v>80600</v>
      </c>
      <c r="I139" s="158"/>
      <c r="ID139" s="2"/>
      <c r="IE139" s="2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9" ht="12.75" customHeight="1">
      <c r="A140" s="133"/>
      <c r="B140" s="136"/>
      <c r="C140" s="6">
        <v>4120</v>
      </c>
      <c r="D140" s="126" t="s">
        <v>197</v>
      </c>
      <c r="E140" s="19">
        <f>2a!E66</f>
        <v>11500</v>
      </c>
      <c r="F140" s="19">
        <f>2a!F66</f>
        <v>0</v>
      </c>
      <c r="G140" s="19">
        <f>2a!G66</f>
        <v>0</v>
      </c>
      <c r="H140" s="19">
        <f>2a!H66</f>
        <v>11500</v>
      </c>
      <c r="I140" s="158"/>
    </row>
    <row r="141" spans="1:9" ht="12.75" customHeight="1">
      <c r="A141" s="133"/>
      <c r="B141" s="136"/>
      <c r="C141" s="6">
        <v>4210</v>
      </c>
      <c r="D141" s="126" t="s">
        <v>176</v>
      </c>
      <c r="E141" s="19">
        <f>2a!E67</f>
        <v>30000</v>
      </c>
      <c r="F141" s="19">
        <f>2a!F67</f>
        <v>0</v>
      </c>
      <c r="G141" s="19">
        <f>2a!G67</f>
        <v>0</v>
      </c>
      <c r="H141" s="19">
        <f>2a!H67</f>
        <v>30000</v>
      </c>
      <c r="I141" s="158"/>
    </row>
    <row r="142" spans="1:9" ht="12.75" customHeight="1">
      <c r="A142" s="133"/>
      <c r="B142" s="136"/>
      <c r="C142" s="6">
        <v>4240</v>
      </c>
      <c r="D142" s="126" t="s">
        <v>221</v>
      </c>
      <c r="E142" s="19">
        <f>2a!E68</f>
        <v>1000</v>
      </c>
      <c r="F142" s="19">
        <f>2a!F68</f>
        <v>0</v>
      </c>
      <c r="G142" s="19">
        <f>2a!G68</f>
        <v>0</v>
      </c>
      <c r="H142" s="19">
        <f>2a!H68</f>
        <v>1000</v>
      </c>
      <c r="I142" s="158"/>
    </row>
    <row r="143" spans="1:9" ht="12.75" customHeight="1">
      <c r="A143" s="133"/>
      <c r="B143" s="136"/>
      <c r="C143" s="6">
        <v>4260</v>
      </c>
      <c r="D143" s="126" t="s">
        <v>205</v>
      </c>
      <c r="E143" s="19">
        <f>2a!E69</f>
        <v>6000</v>
      </c>
      <c r="F143" s="19">
        <f>2a!F69</f>
        <v>0</v>
      </c>
      <c r="G143" s="19">
        <f>2a!G69</f>
        <v>0</v>
      </c>
      <c r="H143" s="19">
        <f>2a!H69</f>
        <v>6000</v>
      </c>
      <c r="I143" s="158"/>
    </row>
    <row r="144" spans="1:9" ht="12.75" customHeight="1">
      <c r="A144" s="133"/>
      <c r="B144" s="136"/>
      <c r="C144" s="129">
        <v>4270</v>
      </c>
      <c r="D144" s="126" t="s">
        <v>222</v>
      </c>
      <c r="E144" s="19">
        <f>2a!E70</f>
        <v>10000</v>
      </c>
      <c r="F144" s="19">
        <f>2a!F70</f>
        <v>0</v>
      </c>
      <c r="G144" s="19">
        <f>2a!G70</f>
        <v>0</v>
      </c>
      <c r="H144" s="19">
        <f>2a!H70</f>
        <v>10000</v>
      </c>
      <c r="I144" s="158"/>
    </row>
    <row r="145" spans="1:9" ht="12.75" customHeight="1">
      <c r="A145" s="133"/>
      <c r="B145" s="136"/>
      <c r="C145" s="6">
        <v>4300</v>
      </c>
      <c r="D145" s="126" t="s">
        <v>194</v>
      </c>
      <c r="E145" s="19">
        <f>2a!E71</f>
        <v>15000</v>
      </c>
      <c r="F145" s="19">
        <f>2a!F71</f>
        <v>0</v>
      </c>
      <c r="G145" s="19">
        <f>2a!G71</f>
        <v>0</v>
      </c>
      <c r="H145" s="19">
        <f>2a!H71</f>
        <v>15000</v>
      </c>
      <c r="I145" s="158"/>
    </row>
    <row r="146" spans="1:9" ht="12.75" customHeight="1">
      <c r="A146" s="133"/>
      <c r="B146" s="136"/>
      <c r="C146" s="129">
        <v>4350</v>
      </c>
      <c r="D146" s="126" t="s">
        <v>206</v>
      </c>
      <c r="E146" s="19">
        <f>2a!E72</f>
        <v>1000</v>
      </c>
      <c r="F146" s="19">
        <f>2a!F72</f>
        <v>0</v>
      </c>
      <c r="G146" s="19">
        <f>2a!G72</f>
        <v>0</v>
      </c>
      <c r="H146" s="19">
        <f>2a!H72</f>
        <v>1000</v>
      </c>
      <c r="I146" s="158"/>
    </row>
    <row r="147" spans="1:9" ht="12.75" customHeight="1">
      <c r="A147" s="133"/>
      <c r="B147" s="136"/>
      <c r="C147" s="129">
        <v>4370</v>
      </c>
      <c r="D147" s="126" t="s">
        <v>208</v>
      </c>
      <c r="E147" s="19">
        <f>2a!E73</f>
        <v>2000</v>
      </c>
      <c r="F147" s="19">
        <f>2a!F73</f>
        <v>0</v>
      </c>
      <c r="G147" s="19">
        <f>2a!G73</f>
        <v>0</v>
      </c>
      <c r="H147" s="19">
        <f>2a!H73</f>
        <v>2000</v>
      </c>
      <c r="I147" s="158"/>
    </row>
    <row r="148" spans="1:9" ht="12.75" customHeight="1">
      <c r="A148" s="133"/>
      <c r="B148" s="136"/>
      <c r="C148" s="6">
        <v>4410</v>
      </c>
      <c r="D148" s="126" t="s">
        <v>201</v>
      </c>
      <c r="E148" s="19">
        <f>2a!E74</f>
        <v>2000</v>
      </c>
      <c r="F148" s="19">
        <f>2a!F74</f>
        <v>0</v>
      </c>
      <c r="G148" s="19">
        <f>2a!G74</f>
        <v>0</v>
      </c>
      <c r="H148" s="19">
        <f>2a!H74</f>
        <v>2000</v>
      </c>
      <c r="I148" s="158"/>
    </row>
    <row r="149" spans="1:9" ht="12.75" customHeight="1">
      <c r="A149" s="133"/>
      <c r="B149" s="136"/>
      <c r="C149" s="6">
        <v>4430</v>
      </c>
      <c r="D149" s="126" t="s">
        <v>177</v>
      </c>
      <c r="E149" s="19">
        <f>2a!E75</f>
        <v>500</v>
      </c>
      <c r="F149" s="19">
        <f>2a!F75</f>
        <v>0</v>
      </c>
      <c r="G149" s="19">
        <f>2a!G75</f>
        <v>0</v>
      </c>
      <c r="H149" s="19">
        <f>2a!H75</f>
        <v>500</v>
      </c>
      <c r="I149" s="158"/>
    </row>
    <row r="150" spans="1:9" ht="12.75" customHeight="1">
      <c r="A150" s="133"/>
      <c r="B150" s="136"/>
      <c r="C150" s="6">
        <v>4440</v>
      </c>
      <c r="D150" s="126" t="s">
        <v>198</v>
      </c>
      <c r="E150" s="19">
        <f>2a!E76</f>
        <v>26650</v>
      </c>
      <c r="F150" s="19">
        <f>2a!F76</f>
        <v>0</v>
      </c>
      <c r="G150" s="19">
        <f>2a!G76</f>
        <v>0</v>
      </c>
      <c r="H150" s="19">
        <f>2a!H76</f>
        <v>26650</v>
      </c>
      <c r="I150" s="158"/>
    </row>
    <row r="151" spans="1:9" ht="24.75">
      <c r="A151" s="133"/>
      <c r="B151" s="136"/>
      <c r="C151" s="129">
        <v>4740</v>
      </c>
      <c r="D151" s="24" t="s">
        <v>210</v>
      </c>
      <c r="E151" s="19">
        <f>2a!E77</f>
        <v>2000</v>
      </c>
      <c r="F151" s="19">
        <f>2a!F77</f>
        <v>0</v>
      </c>
      <c r="G151" s="19">
        <f>2a!G77</f>
        <v>0</v>
      </c>
      <c r="H151" s="19">
        <f>2a!H77</f>
        <v>2000</v>
      </c>
      <c r="I151" s="158"/>
    </row>
    <row r="152" spans="1:256" s="125" customFormat="1" ht="12.75" customHeight="1">
      <c r="A152" s="133"/>
      <c r="B152" s="136"/>
      <c r="C152" s="129">
        <v>4750</v>
      </c>
      <c r="D152" s="24" t="s">
        <v>211</v>
      </c>
      <c r="E152" s="19">
        <f>2a!E78</f>
        <v>2000</v>
      </c>
      <c r="F152" s="19">
        <f>2a!F50+2a!F68</f>
        <v>0</v>
      </c>
      <c r="G152" s="19">
        <f>2a!G78</f>
        <v>0</v>
      </c>
      <c r="H152" s="19">
        <f>2a!H78</f>
        <v>2000</v>
      </c>
      <c r="I152" s="158"/>
      <c r="ID152" s="2"/>
      <c r="IE152" s="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9" ht="12.75" customHeight="1">
      <c r="A153" s="133"/>
      <c r="B153" s="74">
        <v>80113</v>
      </c>
      <c r="C153" s="49" t="s">
        <v>225</v>
      </c>
      <c r="D153" s="49"/>
      <c r="E153" s="23">
        <f>SUM(E154:E161)</f>
        <v>223570</v>
      </c>
      <c r="F153" s="23">
        <f>SUM(F154:F161)</f>
        <v>2000</v>
      </c>
      <c r="G153" s="23">
        <f>SUM(G154:G161)</f>
        <v>0</v>
      </c>
      <c r="H153" s="23">
        <f>SUM(H154:H161)</f>
        <v>225570</v>
      </c>
      <c r="I153" s="124"/>
    </row>
    <row r="154" spans="1:9" ht="12.75" customHeight="1">
      <c r="A154" s="133"/>
      <c r="B154" s="164"/>
      <c r="C154" s="6">
        <v>4010</v>
      </c>
      <c r="D154" s="126" t="s">
        <v>190</v>
      </c>
      <c r="E154" s="19">
        <f>2a!E80</f>
        <v>21500</v>
      </c>
      <c r="F154" s="19">
        <f>2a!F80</f>
        <v>0</v>
      </c>
      <c r="G154" s="19">
        <f>2a!G80</f>
        <v>0</v>
      </c>
      <c r="H154" s="19">
        <f>2a!H80</f>
        <v>21500</v>
      </c>
      <c r="I154" s="158"/>
    </row>
    <row r="155" spans="1:9" ht="12.75" customHeight="1">
      <c r="A155" s="133"/>
      <c r="B155" s="164"/>
      <c r="C155" s="6">
        <v>4040</v>
      </c>
      <c r="D155" s="126" t="s">
        <v>196</v>
      </c>
      <c r="E155" s="19">
        <f>2a!E81</f>
        <v>2540</v>
      </c>
      <c r="F155" s="19">
        <f>2a!F81</f>
        <v>0</v>
      </c>
      <c r="G155" s="19">
        <f>2a!G81</f>
        <v>0</v>
      </c>
      <c r="H155" s="19">
        <f>2a!H81</f>
        <v>2540</v>
      </c>
      <c r="I155" s="158"/>
    </row>
    <row r="156" spans="1:9" ht="12.75" customHeight="1">
      <c r="A156" s="133"/>
      <c r="B156" s="164"/>
      <c r="C156" s="6">
        <v>4110</v>
      </c>
      <c r="D156" s="126" t="s">
        <v>192</v>
      </c>
      <c r="E156" s="19">
        <f>2a!E82</f>
        <v>4120</v>
      </c>
      <c r="F156" s="19">
        <f>2a!F82</f>
        <v>0</v>
      </c>
      <c r="G156" s="19">
        <f>2a!G82</f>
        <v>0</v>
      </c>
      <c r="H156" s="19">
        <f>2a!H82</f>
        <v>4120</v>
      </c>
      <c r="I156" s="158"/>
    </row>
    <row r="157" spans="1:9" ht="12.75" customHeight="1">
      <c r="A157" s="133"/>
      <c r="B157" s="164"/>
      <c r="C157" s="6">
        <v>4120</v>
      </c>
      <c r="D157" s="126" t="s">
        <v>197</v>
      </c>
      <c r="E157" s="19">
        <f>2a!E83</f>
        <v>590</v>
      </c>
      <c r="F157" s="19">
        <f>2a!F83</f>
        <v>0</v>
      </c>
      <c r="G157" s="19">
        <f>2a!G83</f>
        <v>0</v>
      </c>
      <c r="H157" s="19">
        <f>2a!H83</f>
        <v>590</v>
      </c>
      <c r="I157" s="158"/>
    </row>
    <row r="158" spans="1:9" ht="12.75" customHeight="1">
      <c r="A158" s="133"/>
      <c r="B158" s="164"/>
      <c r="C158" s="6">
        <v>4210</v>
      </c>
      <c r="D158" s="126" t="s">
        <v>176</v>
      </c>
      <c r="E158" s="19">
        <f>2a!E84</f>
        <v>10000</v>
      </c>
      <c r="F158" s="19">
        <f>2a!F84</f>
        <v>2000</v>
      </c>
      <c r="G158" s="19">
        <f>2a!G84</f>
        <v>0</v>
      </c>
      <c r="H158" s="19">
        <f>2a!H84</f>
        <v>12000</v>
      </c>
      <c r="I158" s="158"/>
    </row>
    <row r="159" spans="1:9" ht="12.75" customHeight="1">
      <c r="A159" s="133"/>
      <c r="B159" s="164"/>
      <c r="C159" s="6">
        <v>4300</v>
      </c>
      <c r="D159" s="126" t="s">
        <v>194</v>
      </c>
      <c r="E159" s="19">
        <f>2a!E85</f>
        <v>180000</v>
      </c>
      <c r="F159" s="19">
        <f>2a!F85</f>
        <v>0</v>
      </c>
      <c r="G159" s="19">
        <f>2a!G85</f>
        <v>0</v>
      </c>
      <c r="H159" s="19">
        <f>2a!H85</f>
        <v>180000</v>
      </c>
      <c r="I159" s="158"/>
    </row>
    <row r="160" spans="1:9" ht="12.75" customHeight="1">
      <c r="A160" s="133"/>
      <c r="B160" s="164"/>
      <c r="C160" s="6">
        <v>4430</v>
      </c>
      <c r="D160" s="126" t="s">
        <v>177</v>
      </c>
      <c r="E160" s="19">
        <f>2a!E86</f>
        <v>3000</v>
      </c>
      <c r="F160" s="19">
        <f>2a!F86</f>
        <v>0</v>
      </c>
      <c r="G160" s="19">
        <f>2a!G86</f>
        <v>0</v>
      </c>
      <c r="H160" s="19">
        <f>2a!H86</f>
        <v>3000</v>
      </c>
      <c r="I160" s="158"/>
    </row>
    <row r="161" spans="1:9" ht="12.75" customHeight="1">
      <c r="A161" s="133"/>
      <c r="B161" s="164"/>
      <c r="C161" s="165">
        <v>4440</v>
      </c>
      <c r="D161" s="166" t="s">
        <v>198</v>
      </c>
      <c r="E161" s="19">
        <f>2a!E87</f>
        <v>1820</v>
      </c>
      <c r="F161" s="19">
        <f>2a!F87</f>
        <v>0</v>
      </c>
      <c r="G161" s="19">
        <f>2a!G87</f>
        <v>0</v>
      </c>
      <c r="H161" s="19">
        <f>2a!H87</f>
        <v>1820</v>
      </c>
      <c r="I161" s="158"/>
    </row>
    <row r="162" spans="1:9" ht="12.75" customHeight="1">
      <c r="A162" s="133"/>
      <c r="B162" s="48">
        <v>80146</v>
      </c>
      <c r="C162" s="49" t="s">
        <v>226</v>
      </c>
      <c r="D162" s="49"/>
      <c r="E162" s="155">
        <f>SUM(E163:E165)</f>
        <v>11500</v>
      </c>
      <c r="F162" s="155">
        <f>SUM(F163:F165)</f>
        <v>0</v>
      </c>
      <c r="G162" s="155">
        <f>SUM(G163:G165)</f>
        <v>0</v>
      </c>
      <c r="H162" s="155">
        <f>SUM(H163:H165)</f>
        <v>11500</v>
      </c>
      <c r="I162" s="156"/>
    </row>
    <row r="163" spans="1:9" ht="12.75" customHeight="1">
      <c r="A163" s="133"/>
      <c r="B163" s="144"/>
      <c r="C163" s="165">
        <v>4210</v>
      </c>
      <c r="D163" s="166" t="s">
        <v>176</v>
      </c>
      <c r="E163" s="19">
        <f>2a!E89</f>
        <v>1500</v>
      </c>
      <c r="F163" s="19">
        <f>2a!F89</f>
        <v>0</v>
      </c>
      <c r="G163" s="19">
        <f>2a!G89</f>
        <v>0</v>
      </c>
      <c r="H163" s="19">
        <f>2a!H89</f>
        <v>1500</v>
      </c>
      <c r="I163" s="158"/>
    </row>
    <row r="164" spans="1:9" ht="12.75" customHeight="1">
      <c r="A164" s="133"/>
      <c r="B164" s="167"/>
      <c r="C164" s="6">
        <v>4300</v>
      </c>
      <c r="D164" s="126" t="s">
        <v>194</v>
      </c>
      <c r="E164" s="19">
        <f>2a!E90</f>
        <v>7000</v>
      </c>
      <c r="F164" s="19">
        <f>2a!F90</f>
        <v>0</v>
      </c>
      <c r="G164" s="19">
        <f>2a!G90</f>
        <v>0</v>
      </c>
      <c r="H164" s="19">
        <f>2a!H90</f>
        <v>7000</v>
      </c>
      <c r="I164" s="158"/>
    </row>
    <row r="165" spans="1:9" ht="12.75" customHeight="1">
      <c r="A165" s="133"/>
      <c r="B165" s="168"/>
      <c r="C165" s="6">
        <v>4410</v>
      </c>
      <c r="D165" s="126" t="s">
        <v>201</v>
      </c>
      <c r="E165" s="19">
        <f>2a!E91</f>
        <v>3000</v>
      </c>
      <c r="F165" s="19">
        <f>2a!F91</f>
        <v>0</v>
      </c>
      <c r="G165" s="19">
        <f>2a!G91</f>
        <v>0</v>
      </c>
      <c r="H165" s="19">
        <f>2a!H91</f>
        <v>3000</v>
      </c>
      <c r="I165" s="158"/>
    </row>
    <row r="166" spans="1:9" ht="12.75" customHeight="1">
      <c r="A166" s="133"/>
      <c r="B166" s="169">
        <v>80195</v>
      </c>
      <c r="C166" s="131" t="s">
        <v>16</v>
      </c>
      <c r="D166" s="131"/>
      <c r="E166" s="155">
        <f>SUM(E167:E168)</f>
        <v>38013</v>
      </c>
      <c r="F166" s="155">
        <f>SUM(F167:F168)</f>
        <v>0</v>
      </c>
      <c r="G166" s="155">
        <f>SUM(G167:G168)</f>
        <v>2000</v>
      </c>
      <c r="H166" s="155">
        <f>SUM(H167:H168)</f>
        <v>36013</v>
      </c>
      <c r="I166" s="156"/>
    </row>
    <row r="167" spans="1:9" ht="12.75" customHeight="1">
      <c r="A167" s="133"/>
      <c r="B167" s="170"/>
      <c r="C167" s="6">
        <v>4300</v>
      </c>
      <c r="D167" s="126" t="s">
        <v>194</v>
      </c>
      <c r="E167" s="19">
        <f>2a!E94</f>
        <v>36013</v>
      </c>
      <c r="F167" s="19">
        <f>2a!F94</f>
        <v>0</v>
      </c>
      <c r="G167" s="19">
        <f>2a!G94</f>
        <v>2000</v>
      </c>
      <c r="H167" s="19">
        <f>2a!H94</f>
        <v>34013</v>
      </c>
      <c r="I167" s="158"/>
    </row>
    <row r="168" spans="1:9" ht="12.75" customHeight="1">
      <c r="A168" s="146"/>
      <c r="B168" s="171"/>
      <c r="C168" s="165">
        <v>4440</v>
      </c>
      <c r="D168" s="166" t="s">
        <v>198</v>
      </c>
      <c r="E168" s="19">
        <f>2a!E95</f>
        <v>2000</v>
      </c>
      <c r="F168" s="19">
        <f>2a!F95</f>
        <v>0</v>
      </c>
      <c r="G168" s="19">
        <f>2a!G95</f>
        <v>0</v>
      </c>
      <c r="H168" s="19">
        <f>2a!H95</f>
        <v>2000</v>
      </c>
      <c r="I168" s="158"/>
    </row>
    <row r="169" spans="1:256" s="123" customFormat="1" ht="15">
      <c r="A169" s="71">
        <v>851</v>
      </c>
      <c r="B169" s="72" t="s">
        <v>116</v>
      </c>
      <c r="C169" s="72"/>
      <c r="D169" s="72"/>
      <c r="E169" s="121">
        <f>SUM(E170)</f>
        <v>40000</v>
      </c>
      <c r="F169" s="121">
        <f>SUM(F170)</f>
        <v>0</v>
      </c>
      <c r="G169" s="121">
        <f>SUM(G170)</f>
        <v>0</v>
      </c>
      <c r="H169" s="121">
        <f>SUM(H170)</f>
        <v>40000</v>
      </c>
      <c r="I169" s="122"/>
      <c r="ID169" s="2"/>
      <c r="IE169" s="2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s="125" customFormat="1" ht="12.75" customHeight="1">
      <c r="A170" s="133"/>
      <c r="B170" s="74">
        <v>85154</v>
      </c>
      <c r="C170" s="49" t="s">
        <v>118</v>
      </c>
      <c r="D170" s="49"/>
      <c r="E170" s="23">
        <f>SUM(E171:E177)</f>
        <v>40000</v>
      </c>
      <c r="F170" s="23">
        <f>SUM(F171:F177)</f>
        <v>0</v>
      </c>
      <c r="G170" s="23">
        <f>SUM(G171:G177)</f>
        <v>0</v>
      </c>
      <c r="H170" s="23">
        <f>SUM(H171:H177)</f>
        <v>40000</v>
      </c>
      <c r="I170" s="124"/>
      <c r="ID170" s="2"/>
      <c r="IE170" s="2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9" ht="12.75" customHeight="1">
      <c r="A171" s="133"/>
      <c r="B171" s="141"/>
      <c r="C171" s="6">
        <v>3030</v>
      </c>
      <c r="D171" s="126" t="s">
        <v>200</v>
      </c>
      <c r="E171" s="50">
        <v>1500</v>
      </c>
      <c r="F171" s="50"/>
      <c r="G171" s="50"/>
      <c r="H171" s="20">
        <f>E171+F171-G171</f>
        <v>1500</v>
      </c>
      <c r="I171" s="127"/>
    </row>
    <row r="172" spans="1:9" ht="12.75" customHeight="1">
      <c r="A172" s="133"/>
      <c r="B172" s="141"/>
      <c r="C172" s="6">
        <v>4010</v>
      </c>
      <c r="D172" s="126" t="s">
        <v>190</v>
      </c>
      <c r="E172" s="50">
        <v>5700</v>
      </c>
      <c r="F172" s="50"/>
      <c r="G172" s="50"/>
      <c r="H172" s="20">
        <f>E172+F172-G172</f>
        <v>5700</v>
      </c>
      <c r="I172" s="127"/>
    </row>
    <row r="173" spans="1:9" ht="12.75" customHeight="1">
      <c r="A173" s="133"/>
      <c r="B173" s="141"/>
      <c r="C173" s="6">
        <v>4110</v>
      </c>
      <c r="D173" s="126" t="s">
        <v>192</v>
      </c>
      <c r="E173" s="50">
        <v>1000</v>
      </c>
      <c r="F173" s="50"/>
      <c r="G173" s="50"/>
      <c r="H173" s="20">
        <f>E173+F173-G173</f>
        <v>1000</v>
      </c>
      <c r="I173" s="127"/>
    </row>
    <row r="174" spans="1:9" ht="12.75" customHeight="1">
      <c r="A174" s="133"/>
      <c r="B174" s="141"/>
      <c r="C174" s="70">
        <v>4170</v>
      </c>
      <c r="D174" s="58" t="s">
        <v>175</v>
      </c>
      <c r="E174" s="50">
        <v>2000</v>
      </c>
      <c r="F174" s="50"/>
      <c r="G174" s="50"/>
      <c r="H174" s="20">
        <f>E174+F174-G174</f>
        <v>2000</v>
      </c>
      <c r="I174" s="127"/>
    </row>
    <row r="175" spans="1:9" ht="12.75" customHeight="1">
      <c r="A175" s="133"/>
      <c r="B175" s="141"/>
      <c r="C175" s="6">
        <v>4210</v>
      </c>
      <c r="D175" s="126" t="s">
        <v>176</v>
      </c>
      <c r="E175" s="50">
        <v>7000</v>
      </c>
      <c r="F175" s="50"/>
      <c r="G175" s="50"/>
      <c r="H175" s="20">
        <f>E175+F175-G175</f>
        <v>7000</v>
      </c>
      <c r="I175" s="127"/>
    </row>
    <row r="176" spans="1:9" ht="12.75" customHeight="1">
      <c r="A176" s="133"/>
      <c r="B176" s="141"/>
      <c r="C176" s="6">
        <v>4300</v>
      </c>
      <c r="D176" s="126" t="s">
        <v>194</v>
      </c>
      <c r="E176" s="50">
        <v>21800</v>
      </c>
      <c r="F176" s="50"/>
      <c r="G176" s="50"/>
      <c r="H176" s="20">
        <f>E176+F176-G176</f>
        <v>21800</v>
      </c>
      <c r="I176" s="127"/>
    </row>
    <row r="177" spans="1:9" ht="12.75" customHeight="1">
      <c r="A177" s="146"/>
      <c r="B177" s="143"/>
      <c r="C177" s="6">
        <v>4410</v>
      </c>
      <c r="D177" s="126" t="s">
        <v>201</v>
      </c>
      <c r="E177" s="50">
        <v>1000</v>
      </c>
      <c r="F177" s="50"/>
      <c r="G177" s="50"/>
      <c r="H177" s="20">
        <f>E177+F177-G177</f>
        <v>1000</v>
      </c>
      <c r="I177" s="127"/>
    </row>
    <row r="178" spans="1:9" ht="13.5">
      <c r="A178" s="71">
        <v>852</v>
      </c>
      <c r="B178" s="72" t="s">
        <v>122</v>
      </c>
      <c r="C178" s="72"/>
      <c r="D178" s="72"/>
      <c r="E178" s="172">
        <f>SUM(E195,E197,E199,E201,E217,E181,E179,E215)</f>
        <v>1861979</v>
      </c>
      <c r="F178" s="172">
        <f>SUM(F195,F197,F199,F201,F217,F181,F179,F215)</f>
        <v>42351</v>
      </c>
      <c r="G178" s="172">
        <f>SUM(G195,G197,G199,G201,G217,G181,G179,G215)</f>
        <v>1000</v>
      </c>
      <c r="H178" s="172">
        <f>SUM(H195,H197,H199,H201,H217,H181,H179,H215)</f>
        <v>1903330</v>
      </c>
      <c r="I178" s="173"/>
    </row>
    <row r="179" spans="1:9" ht="13.5">
      <c r="A179" s="174"/>
      <c r="B179" s="48">
        <v>85202</v>
      </c>
      <c r="C179" s="49" t="s">
        <v>227</v>
      </c>
      <c r="D179" s="49"/>
      <c r="E179" s="15">
        <f>SUM(E180)</f>
        <v>12000</v>
      </c>
      <c r="F179" s="15">
        <f>SUM(F180)</f>
        <v>0</v>
      </c>
      <c r="G179" s="15">
        <f>SUM(G180)</f>
        <v>0</v>
      </c>
      <c r="H179" s="15">
        <f>SUM(H180)</f>
        <v>12000</v>
      </c>
      <c r="I179" s="175"/>
    </row>
    <row r="180" spans="1:9" ht="13.5">
      <c r="A180" s="174"/>
      <c r="B180" s="176"/>
      <c r="C180" s="6">
        <v>4300</v>
      </c>
      <c r="D180" s="126" t="s">
        <v>194</v>
      </c>
      <c r="E180" s="177">
        <v>12000</v>
      </c>
      <c r="F180" s="177"/>
      <c r="G180" s="177"/>
      <c r="H180" s="20">
        <f>E180+F180-G180</f>
        <v>12000</v>
      </c>
      <c r="I180" s="127"/>
    </row>
    <row r="181" spans="1:9" ht="24.75">
      <c r="A181" s="174"/>
      <c r="B181" s="28" t="s">
        <v>123</v>
      </c>
      <c r="C181" s="35" t="s">
        <v>124</v>
      </c>
      <c r="D181" s="35"/>
      <c r="E181" s="30">
        <f>SUM(E182:E194)</f>
        <v>1177412</v>
      </c>
      <c r="F181" s="30">
        <f>SUM(F182:F194)</f>
        <v>1000</v>
      </c>
      <c r="G181" s="30">
        <f>SUM(G182:G194)</f>
        <v>1000</v>
      </c>
      <c r="H181" s="30">
        <f>SUM(H182:H194)</f>
        <v>1177412</v>
      </c>
      <c r="I181" s="132"/>
    </row>
    <row r="182" spans="1:9" ht="13.5">
      <c r="A182" s="174"/>
      <c r="B182" s="36"/>
      <c r="C182" s="6">
        <v>3020</v>
      </c>
      <c r="D182" s="126" t="s">
        <v>203</v>
      </c>
      <c r="E182" s="33">
        <v>104</v>
      </c>
      <c r="F182" s="33"/>
      <c r="G182" s="33"/>
      <c r="H182" s="20">
        <f>E182+F182-G182</f>
        <v>104</v>
      </c>
      <c r="I182" s="127"/>
    </row>
    <row r="183" spans="1:9" ht="13.5">
      <c r="A183" s="174"/>
      <c r="B183" s="36"/>
      <c r="C183" s="129">
        <v>3040</v>
      </c>
      <c r="D183" s="159" t="s">
        <v>204</v>
      </c>
      <c r="E183" s="50">
        <v>600</v>
      </c>
      <c r="F183" s="50"/>
      <c r="G183" s="50"/>
      <c r="H183" s="20">
        <f>E183+F183-G183</f>
        <v>600</v>
      </c>
      <c r="I183" s="127"/>
    </row>
    <row r="184" spans="1:9" ht="13.5">
      <c r="A184" s="174"/>
      <c r="B184" s="36"/>
      <c r="C184" s="129">
        <v>3110</v>
      </c>
      <c r="D184" s="126" t="s">
        <v>228</v>
      </c>
      <c r="E184" s="50">
        <f>1177412-E182-E183-E185-E186-E187-E188-E189-E190-E191-E192-E194</f>
        <v>1129788</v>
      </c>
      <c r="F184" s="50"/>
      <c r="G184" s="50">
        <v>1000</v>
      </c>
      <c r="H184" s="20">
        <f>E184+F184-G184</f>
        <v>1128788</v>
      </c>
      <c r="I184" s="127"/>
    </row>
    <row r="185" spans="1:9" ht="13.5">
      <c r="A185" s="174"/>
      <c r="B185" s="36"/>
      <c r="C185" s="6">
        <v>4010</v>
      </c>
      <c r="D185" s="126" t="s">
        <v>190</v>
      </c>
      <c r="E185" s="50">
        <v>22313</v>
      </c>
      <c r="F185" s="50"/>
      <c r="G185" s="50"/>
      <c r="H185" s="20">
        <f>E185+F185-G185</f>
        <v>22313</v>
      </c>
      <c r="I185" s="127"/>
    </row>
    <row r="186" spans="1:9" ht="13.5">
      <c r="A186" s="174"/>
      <c r="B186" s="36"/>
      <c r="C186" s="6">
        <v>4040</v>
      </c>
      <c r="D186" s="126" t="s">
        <v>196</v>
      </c>
      <c r="E186" s="50">
        <v>1287</v>
      </c>
      <c r="F186" s="50"/>
      <c r="G186" s="50"/>
      <c r="H186" s="20">
        <f>E186+F186-G186</f>
        <v>1287</v>
      </c>
      <c r="I186" s="127"/>
    </row>
    <row r="187" spans="1:9" ht="13.5">
      <c r="A187" s="174"/>
      <c r="B187" s="36"/>
      <c r="C187" s="6">
        <v>4110</v>
      </c>
      <c r="D187" s="126" t="s">
        <v>192</v>
      </c>
      <c r="E187" s="50">
        <f>4150+150+10000</f>
        <v>14300</v>
      </c>
      <c r="F187" s="50"/>
      <c r="G187" s="50"/>
      <c r="H187" s="20">
        <f>E187+F187-G187</f>
        <v>14300</v>
      </c>
      <c r="I187" s="127"/>
    </row>
    <row r="188" spans="1:9" ht="13.5">
      <c r="A188" s="174"/>
      <c r="B188" s="36"/>
      <c r="C188" s="6">
        <v>4120</v>
      </c>
      <c r="D188" s="126" t="s">
        <v>197</v>
      </c>
      <c r="E188" s="50">
        <f>560+50</f>
        <v>610</v>
      </c>
      <c r="F188" s="50"/>
      <c r="G188" s="50"/>
      <c r="H188" s="20">
        <f>E188+F188-G188</f>
        <v>610</v>
      </c>
      <c r="I188" s="127"/>
    </row>
    <row r="189" spans="1:9" ht="13.5">
      <c r="A189" s="174"/>
      <c r="B189" s="36"/>
      <c r="C189" s="6">
        <v>4210</v>
      </c>
      <c r="D189" s="126" t="s">
        <v>176</v>
      </c>
      <c r="E189" s="50">
        <v>500</v>
      </c>
      <c r="F189" s="50"/>
      <c r="G189" s="50"/>
      <c r="H189" s="20">
        <f>E189+F189-G189</f>
        <v>500</v>
      </c>
      <c r="I189" s="127"/>
    </row>
    <row r="190" spans="1:9" ht="13.5">
      <c r="A190" s="174"/>
      <c r="B190" s="178"/>
      <c r="C190" s="6">
        <v>4300</v>
      </c>
      <c r="D190" s="126" t="s">
        <v>194</v>
      </c>
      <c r="E190" s="50">
        <v>5000</v>
      </c>
      <c r="F190" s="50"/>
      <c r="G190" s="50"/>
      <c r="H190" s="20">
        <f>E190+F190-G190</f>
        <v>5000</v>
      </c>
      <c r="I190" s="127"/>
    </row>
    <row r="191" spans="1:9" ht="13.5">
      <c r="A191" s="174"/>
      <c r="B191" s="178"/>
      <c r="C191" s="6">
        <v>4410</v>
      </c>
      <c r="D191" s="126" t="s">
        <v>201</v>
      </c>
      <c r="E191" s="50">
        <v>500</v>
      </c>
      <c r="F191" s="50"/>
      <c r="G191" s="50"/>
      <c r="H191" s="20">
        <f>E191+F191-G191</f>
        <v>500</v>
      </c>
      <c r="I191" s="127"/>
    </row>
    <row r="192" spans="1:9" ht="13.5">
      <c r="A192" s="174"/>
      <c r="B192" s="178"/>
      <c r="C192" s="6">
        <v>4440</v>
      </c>
      <c r="D192" s="126" t="s">
        <v>198</v>
      </c>
      <c r="E192" s="50">
        <v>910</v>
      </c>
      <c r="F192" s="50"/>
      <c r="G192" s="50"/>
      <c r="H192" s="20">
        <f>E192+F192-G192</f>
        <v>910</v>
      </c>
      <c r="I192" s="127"/>
    </row>
    <row r="193" spans="1:9" ht="13.5">
      <c r="A193" s="174"/>
      <c r="B193" s="178"/>
      <c r="C193" s="129">
        <v>4700</v>
      </c>
      <c r="D193" s="126" t="s">
        <v>209</v>
      </c>
      <c r="E193" s="50"/>
      <c r="F193" s="50">
        <v>1000</v>
      </c>
      <c r="G193" s="50"/>
      <c r="H193" s="20">
        <f>E193+F193-G193</f>
        <v>1000</v>
      </c>
      <c r="I193" s="127"/>
    </row>
    <row r="194" spans="1:9" ht="13.5">
      <c r="A194" s="174"/>
      <c r="B194" s="179"/>
      <c r="C194" s="129">
        <v>4750</v>
      </c>
      <c r="D194" s="24" t="s">
        <v>211</v>
      </c>
      <c r="E194" s="50">
        <v>1500</v>
      </c>
      <c r="F194" s="50"/>
      <c r="G194" s="50"/>
      <c r="H194" s="20">
        <f>E194+F194-G194</f>
        <v>1500</v>
      </c>
      <c r="I194" s="127"/>
    </row>
    <row r="195" spans="1:9" ht="24.75">
      <c r="A195" s="180"/>
      <c r="B195" s="13" t="s">
        <v>125</v>
      </c>
      <c r="C195" s="181" t="s">
        <v>126</v>
      </c>
      <c r="D195" s="181"/>
      <c r="E195" s="23">
        <f>SUM(E196)</f>
        <v>5500</v>
      </c>
      <c r="F195" s="23">
        <f>SUM(F196)</f>
        <v>0</v>
      </c>
      <c r="G195" s="23">
        <f>SUM(G196)</f>
        <v>0</v>
      </c>
      <c r="H195" s="23">
        <f>SUM(H196)</f>
        <v>5500</v>
      </c>
      <c r="I195" s="124"/>
    </row>
    <row r="196" spans="1:9" ht="12.75" customHeight="1">
      <c r="A196" s="180"/>
      <c r="B196" s="182"/>
      <c r="C196" s="183" t="s">
        <v>229</v>
      </c>
      <c r="D196" s="184" t="s">
        <v>230</v>
      </c>
      <c r="E196" s="50">
        <v>5500</v>
      </c>
      <c r="F196" s="50"/>
      <c r="G196" s="50"/>
      <c r="H196" s="20">
        <f>E196+F196-G196</f>
        <v>5500</v>
      </c>
      <c r="I196" s="127"/>
    </row>
    <row r="197" spans="1:9" ht="12.75" customHeight="1">
      <c r="A197" s="133"/>
      <c r="B197" s="48">
        <v>85214</v>
      </c>
      <c r="C197" s="14" t="s">
        <v>231</v>
      </c>
      <c r="D197" s="14"/>
      <c r="E197" s="155">
        <f>SUM(E198:E198)</f>
        <v>292000</v>
      </c>
      <c r="F197" s="155">
        <f>SUM(F198:F198)</f>
        <v>0</v>
      </c>
      <c r="G197" s="155">
        <f>SUM(G198:G198)</f>
        <v>0</v>
      </c>
      <c r="H197" s="155">
        <f>SUM(H198:H198)</f>
        <v>292000</v>
      </c>
      <c r="I197" s="156"/>
    </row>
    <row r="198" spans="1:9" ht="12.75" customHeight="1">
      <c r="A198" s="133"/>
      <c r="B198" s="52"/>
      <c r="C198" s="129">
        <v>3110</v>
      </c>
      <c r="D198" s="126" t="s">
        <v>228</v>
      </c>
      <c r="E198" s="50">
        <v>292000</v>
      </c>
      <c r="F198" s="50"/>
      <c r="G198" s="50"/>
      <c r="H198" s="20">
        <f>E198+F198-G198</f>
        <v>292000</v>
      </c>
      <c r="I198" s="127"/>
    </row>
    <row r="199" spans="1:9" ht="12.75" customHeight="1">
      <c r="A199" s="133"/>
      <c r="B199" s="138" t="s">
        <v>232</v>
      </c>
      <c r="C199" s="185" t="s">
        <v>233</v>
      </c>
      <c r="D199" s="185"/>
      <c r="E199" s="23">
        <f>SUM(E200)</f>
        <v>110000</v>
      </c>
      <c r="F199" s="23">
        <f>SUM(F200)</f>
        <v>0</v>
      </c>
      <c r="G199" s="23">
        <f>SUM(G200)</f>
        <v>0</v>
      </c>
      <c r="H199" s="23">
        <f>SUM(H200)</f>
        <v>110000</v>
      </c>
      <c r="I199" s="124"/>
    </row>
    <row r="200" spans="1:9" ht="12.75" customHeight="1">
      <c r="A200" s="133"/>
      <c r="B200" s="186"/>
      <c r="C200" s="129">
        <v>3110</v>
      </c>
      <c r="D200" s="126" t="s">
        <v>228</v>
      </c>
      <c r="E200" s="50">
        <v>110000</v>
      </c>
      <c r="F200" s="50"/>
      <c r="G200" s="50"/>
      <c r="H200" s="20">
        <f>E200+F200-G200</f>
        <v>110000</v>
      </c>
      <c r="I200" s="127"/>
    </row>
    <row r="201" spans="1:9" ht="12.75" customHeight="1">
      <c r="A201" s="133"/>
      <c r="B201" s="48">
        <v>85219</v>
      </c>
      <c r="C201" s="49" t="s">
        <v>130</v>
      </c>
      <c r="D201" s="49"/>
      <c r="E201" s="155">
        <f>SUM(E202:E214)</f>
        <v>78980</v>
      </c>
      <c r="F201" s="155">
        <f>SUM(F202:F214)</f>
        <v>5150</v>
      </c>
      <c r="G201" s="155">
        <f>SUM(G202:G214)</f>
        <v>0</v>
      </c>
      <c r="H201" s="155">
        <f>SUM(H202:H214)</f>
        <v>84130</v>
      </c>
      <c r="I201" s="156"/>
    </row>
    <row r="202" spans="1:9" ht="12.75" customHeight="1">
      <c r="A202" s="133"/>
      <c r="B202" s="144"/>
      <c r="C202" s="6">
        <v>3020</v>
      </c>
      <c r="D202" s="126" t="s">
        <v>203</v>
      </c>
      <c r="E202" s="187">
        <v>200</v>
      </c>
      <c r="F202" s="187">
        <v>400</v>
      </c>
      <c r="G202" s="187"/>
      <c r="H202" s="20">
        <f>E202+F202-G202</f>
        <v>600</v>
      </c>
      <c r="I202" s="127"/>
    </row>
    <row r="203" spans="1:9" ht="12.75" customHeight="1">
      <c r="A203" s="133"/>
      <c r="B203" s="144"/>
      <c r="C203" s="129">
        <v>3040</v>
      </c>
      <c r="D203" s="159" t="s">
        <v>204</v>
      </c>
      <c r="E203" s="50">
        <v>2000</v>
      </c>
      <c r="F203" s="50"/>
      <c r="G203" s="50"/>
      <c r="H203" s="20">
        <f>E203+F203-G203</f>
        <v>2000</v>
      </c>
      <c r="I203" s="127"/>
    </row>
    <row r="204" spans="1:9" ht="12.75" customHeight="1">
      <c r="A204" s="133"/>
      <c r="B204" s="178"/>
      <c r="C204" s="6">
        <v>4010</v>
      </c>
      <c r="D204" s="126" t="s">
        <v>190</v>
      </c>
      <c r="E204" s="50">
        <v>50540</v>
      </c>
      <c r="F204" s="50">
        <v>750</v>
      </c>
      <c r="G204" s="50"/>
      <c r="H204" s="20">
        <f>E204+F204-G204</f>
        <v>51290</v>
      </c>
      <c r="I204" s="127"/>
    </row>
    <row r="205" spans="1:9" ht="12.75" customHeight="1">
      <c r="A205" s="133"/>
      <c r="B205" s="178"/>
      <c r="C205" s="6">
        <v>4040</v>
      </c>
      <c r="D205" s="126" t="s">
        <v>196</v>
      </c>
      <c r="E205" s="50">
        <v>4600</v>
      </c>
      <c r="F205" s="50"/>
      <c r="G205" s="50"/>
      <c r="H205" s="20">
        <f>E205+F205-G205</f>
        <v>4600</v>
      </c>
      <c r="I205" s="127"/>
    </row>
    <row r="206" spans="1:9" ht="12.75" customHeight="1">
      <c r="A206" s="133"/>
      <c r="B206" s="178"/>
      <c r="C206" s="6">
        <v>4110</v>
      </c>
      <c r="D206" s="126" t="s">
        <v>192</v>
      </c>
      <c r="E206" s="50">
        <f>9200+850</f>
        <v>10050</v>
      </c>
      <c r="F206" s="50"/>
      <c r="G206" s="50"/>
      <c r="H206" s="20">
        <f>E206+F206-G206</f>
        <v>10050</v>
      </c>
      <c r="I206" s="127"/>
    </row>
    <row r="207" spans="1:9" ht="12.75" customHeight="1">
      <c r="A207" s="133"/>
      <c r="B207" s="178"/>
      <c r="C207" s="6">
        <v>4120</v>
      </c>
      <c r="D207" s="126" t="s">
        <v>197</v>
      </c>
      <c r="E207" s="50">
        <f>1250+110</f>
        <v>1360</v>
      </c>
      <c r="F207" s="50"/>
      <c r="G207" s="50"/>
      <c r="H207" s="20">
        <f>E207+F207-G207</f>
        <v>1360</v>
      </c>
      <c r="I207" s="127"/>
    </row>
    <row r="208" spans="1:9" ht="12.75" customHeight="1">
      <c r="A208" s="133"/>
      <c r="B208" s="178"/>
      <c r="C208" s="6">
        <v>4210</v>
      </c>
      <c r="D208" s="126" t="s">
        <v>176</v>
      </c>
      <c r="E208" s="50">
        <v>1000</v>
      </c>
      <c r="F208" s="50">
        <v>1000</v>
      </c>
      <c r="G208" s="50"/>
      <c r="H208" s="20">
        <f>E208+F208-G208</f>
        <v>2000</v>
      </c>
      <c r="I208" s="127"/>
    </row>
    <row r="209" spans="1:9" ht="12.75" customHeight="1">
      <c r="A209" s="133"/>
      <c r="B209" s="178"/>
      <c r="C209" s="6">
        <v>4300</v>
      </c>
      <c r="D209" s="126" t="s">
        <v>194</v>
      </c>
      <c r="E209" s="50">
        <v>1000</v>
      </c>
      <c r="F209" s="50">
        <v>2000</v>
      </c>
      <c r="G209" s="50"/>
      <c r="H209" s="20">
        <f>E209+F209-G209</f>
        <v>3000</v>
      </c>
      <c r="I209" s="127"/>
    </row>
    <row r="210" spans="1:9" ht="12.75" customHeight="1">
      <c r="A210" s="133"/>
      <c r="B210" s="178"/>
      <c r="C210" s="6">
        <v>4410</v>
      </c>
      <c r="D210" s="126" t="s">
        <v>201</v>
      </c>
      <c r="E210" s="50">
        <v>1500</v>
      </c>
      <c r="F210" s="50"/>
      <c r="G210" s="50"/>
      <c r="H210" s="20">
        <f>E210+F210-G210</f>
        <v>1500</v>
      </c>
      <c r="I210" s="127"/>
    </row>
    <row r="211" spans="1:9" ht="12.75" customHeight="1">
      <c r="A211" s="133"/>
      <c r="B211" s="178"/>
      <c r="C211" s="6">
        <v>4440</v>
      </c>
      <c r="D211" s="126" t="s">
        <v>198</v>
      </c>
      <c r="E211" s="50">
        <v>2730</v>
      </c>
      <c r="F211" s="50"/>
      <c r="G211" s="50"/>
      <c r="H211" s="20">
        <f>E211+F211-G211</f>
        <v>2730</v>
      </c>
      <c r="I211" s="127"/>
    </row>
    <row r="212" spans="1:9" ht="12.75" customHeight="1">
      <c r="A212" s="133"/>
      <c r="B212" s="178"/>
      <c r="C212" s="129">
        <v>4700</v>
      </c>
      <c r="D212" s="126" t="s">
        <v>209</v>
      </c>
      <c r="E212" s="50"/>
      <c r="F212" s="50">
        <v>1000</v>
      </c>
      <c r="G212" s="50"/>
      <c r="H212" s="20">
        <f>E212+F212-G212</f>
        <v>1000</v>
      </c>
      <c r="I212" s="127"/>
    </row>
    <row r="213" spans="1:9" ht="25.5">
      <c r="A213" s="133"/>
      <c r="B213" s="178"/>
      <c r="C213" s="129">
        <v>4740</v>
      </c>
      <c r="D213" s="24" t="s">
        <v>210</v>
      </c>
      <c r="E213" s="50">
        <v>2000</v>
      </c>
      <c r="F213" s="50"/>
      <c r="G213" s="50"/>
      <c r="H213" s="20">
        <f>E213+F213-G213</f>
        <v>2000</v>
      </c>
      <c r="I213" s="127"/>
    </row>
    <row r="214" spans="1:9" ht="12.75" customHeight="1">
      <c r="A214" s="133"/>
      <c r="B214" s="179"/>
      <c r="C214" s="129">
        <v>4750</v>
      </c>
      <c r="D214" s="24" t="s">
        <v>211</v>
      </c>
      <c r="E214" s="50">
        <v>2000</v>
      </c>
      <c r="F214" s="50"/>
      <c r="G214" s="50"/>
      <c r="H214" s="20">
        <f>E214+F214-G214</f>
        <v>2000</v>
      </c>
      <c r="I214" s="127"/>
    </row>
    <row r="215" spans="1:9" ht="12.75" customHeight="1">
      <c r="A215" s="133"/>
      <c r="B215" s="28" t="s">
        <v>131</v>
      </c>
      <c r="C215" s="29" t="s">
        <v>132</v>
      </c>
      <c r="D215" s="29"/>
      <c r="E215" s="30">
        <f>SUM(E216:E216)</f>
        <v>135508</v>
      </c>
      <c r="F215" s="30">
        <f>SUM(F216:F216)</f>
        <v>0</v>
      </c>
      <c r="G215" s="30">
        <f>SUM(G216:G216)</f>
        <v>0</v>
      </c>
      <c r="H215" s="30">
        <f>SUM(H216:H216)</f>
        <v>135508</v>
      </c>
      <c r="I215" s="132"/>
    </row>
    <row r="216" spans="1:9" ht="12.75" customHeight="1">
      <c r="A216" s="133"/>
      <c r="B216" s="32"/>
      <c r="C216" s="6">
        <v>3110</v>
      </c>
      <c r="D216" s="126" t="s">
        <v>228</v>
      </c>
      <c r="E216" s="80">
        <v>135508</v>
      </c>
      <c r="F216" s="33"/>
      <c r="G216" s="33"/>
      <c r="H216" s="33">
        <f>E216+F216-G216</f>
        <v>135508</v>
      </c>
      <c r="I216" s="188"/>
    </row>
    <row r="217" spans="1:9" ht="12.75" customHeight="1">
      <c r="A217" s="133"/>
      <c r="B217" s="74">
        <v>85295</v>
      </c>
      <c r="C217" s="49" t="s">
        <v>16</v>
      </c>
      <c r="D217" s="49"/>
      <c r="E217" s="155">
        <f>SUM(E218)</f>
        <v>50579</v>
      </c>
      <c r="F217" s="155">
        <f>SUM(F218)</f>
        <v>36201</v>
      </c>
      <c r="G217" s="155">
        <f>SUM(G218)</f>
        <v>0</v>
      </c>
      <c r="H217" s="155">
        <f>SUM(H218)</f>
        <v>86780</v>
      </c>
      <c r="I217" s="156"/>
    </row>
    <row r="218" spans="1:9" ht="12.75">
      <c r="A218" s="146"/>
      <c r="B218" s="189"/>
      <c r="C218" s="6">
        <v>3110</v>
      </c>
      <c r="D218" s="126" t="s">
        <v>228</v>
      </c>
      <c r="E218" s="50">
        <v>50579</v>
      </c>
      <c r="F218" s="50">
        <f>26201+10000</f>
        <v>36201</v>
      </c>
      <c r="G218" s="50"/>
      <c r="H218" s="20">
        <f>E218+F218-G218</f>
        <v>86780</v>
      </c>
      <c r="I218" s="127"/>
    </row>
    <row r="219" spans="1:9" ht="13.5">
      <c r="A219" s="71">
        <v>854</v>
      </c>
      <c r="B219" s="72" t="s">
        <v>133</v>
      </c>
      <c r="C219" s="72"/>
      <c r="D219" s="72"/>
      <c r="E219" s="121">
        <f>SUM(E220)</f>
        <v>51115</v>
      </c>
      <c r="F219" s="121">
        <f>SUM(F220)</f>
        <v>0</v>
      </c>
      <c r="G219" s="121">
        <f>SUM(G220)</f>
        <v>0</v>
      </c>
      <c r="H219" s="20">
        <f>E219+F219-G219</f>
        <v>51115</v>
      </c>
      <c r="I219" s="122"/>
    </row>
    <row r="220" spans="1:9" ht="12.75">
      <c r="A220" s="133"/>
      <c r="B220" s="48">
        <v>85415</v>
      </c>
      <c r="C220" s="49" t="s">
        <v>134</v>
      </c>
      <c r="D220" s="49"/>
      <c r="E220" s="15">
        <f>SUM(E221)</f>
        <v>51115</v>
      </c>
      <c r="F220" s="15">
        <f>SUM(F221)</f>
        <v>0</v>
      </c>
      <c r="G220" s="15">
        <f>SUM(G221)</f>
        <v>0</v>
      </c>
      <c r="H220" s="15">
        <f>SUM(H221)</f>
        <v>51115</v>
      </c>
      <c r="I220" s="175"/>
    </row>
    <row r="221" spans="1:9" ht="12.75">
      <c r="A221" s="146"/>
      <c r="B221" s="52"/>
      <c r="C221" s="6">
        <v>3260</v>
      </c>
      <c r="D221" s="126" t="s">
        <v>234</v>
      </c>
      <c r="E221" s="19">
        <v>51115</v>
      </c>
      <c r="F221" s="50"/>
      <c r="G221" s="50"/>
      <c r="H221" s="50">
        <f>E221+F221-G221</f>
        <v>51115</v>
      </c>
      <c r="I221" s="190"/>
    </row>
    <row r="222" spans="1:9" ht="13.5">
      <c r="A222" s="71">
        <v>900</v>
      </c>
      <c r="B222" s="72" t="s">
        <v>136</v>
      </c>
      <c r="C222" s="72"/>
      <c r="D222" s="72"/>
      <c r="E222" s="121">
        <f>SUM(E223,E235,E237,E243,E241)</f>
        <v>711029</v>
      </c>
      <c r="F222" s="121">
        <f>SUM(F223,F235,F237,F243,F241)</f>
        <v>8000</v>
      </c>
      <c r="G222" s="121">
        <f>SUM(G223,G235,G237,G243,G241)</f>
        <v>911</v>
      </c>
      <c r="H222" s="121">
        <f>SUM(H223,H235,H237,H243,H241)</f>
        <v>718118</v>
      </c>
      <c r="I222" s="122"/>
    </row>
    <row r="223" spans="1:9" ht="12.75" customHeight="1">
      <c r="A223" s="133"/>
      <c r="B223" s="48">
        <v>90003</v>
      </c>
      <c r="C223" s="49" t="s">
        <v>235</v>
      </c>
      <c r="D223" s="49"/>
      <c r="E223" s="23">
        <f>SUM(E224:E234)</f>
        <v>250361</v>
      </c>
      <c r="F223" s="23">
        <f>SUM(F224:F234)</f>
        <v>500</v>
      </c>
      <c r="G223" s="23">
        <f>SUM(G224:G234)</f>
        <v>911</v>
      </c>
      <c r="H223" s="23">
        <f>SUM(H224:H234)</f>
        <v>249950</v>
      </c>
      <c r="I223" s="124"/>
    </row>
    <row r="224" spans="1:9" ht="12.75" customHeight="1">
      <c r="A224" s="133"/>
      <c r="B224" s="144"/>
      <c r="C224" s="6">
        <v>3020</v>
      </c>
      <c r="D224" s="126" t="s">
        <v>203</v>
      </c>
      <c r="E224" s="50">
        <v>400</v>
      </c>
      <c r="F224" s="50"/>
      <c r="G224" s="50"/>
      <c r="H224" s="20">
        <f>E224+F224-G224</f>
        <v>400</v>
      </c>
      <c r="I224" s="127"/>
    </row>
    <row r="225" spans="1:9" ht="12.75" customHeight="1">
      <c r="A225" s="133"/>
      <c r="B225" s="144"/>
      <c r="C225" s="129">
        <v>3040</v>
      </c>
      <c r="D225" s="159" t="s">
        <v>204</v>
      </c>
      <c r="E225" s="50">
        <v>600</v>
      </c>
      <c r="F225" s="50"/>
      <c r="G225" s="50"/>
      <c r="H225" s="20">
        <f>E225+F225-G225</f>
        <v>600</v>
      </c>
      <c r="I225" s="127"/>
    </row>
    <row r="226" spans="1:9" ht="12.75" customHeight="1">
      <c r="A226" s="133"/>
      <c r="B226" s="178"/>
      <c r="C226" s="6">
        <v>4010</v>
      </c>
      <c r="D226" s="126" t="s">
        <v>190</v>
      </c>
      <c r="E226" s="50">
        <v>49920</v>
      </c>
      <c r="F226" s="50"/>
      <c r="G226" s="50"/>
      <c r="H226" s="20">
        <f>E226+F226-G226</f>
        <v>49920</v>
      </c>
      <c r="I226" s="127"/>
    </row>
    <row r="227" spans="1:9" ht="12.75" customHeight="1">
      <c r="A227" s="133"/>
      <c r="B227" s="178"/>
      <c r="C227" s="6">
        <v>4040</v>
      </c>
      <c r="D227" s="126" t="s">
        <v>196</v>
      </c>
      <c r="E227" s="50">
        <v>3250</v>
      </c>
      <c r="F227" s="50"/>
      <c r="G227" s="50"/>
      <c r="H227" s="20">
        <f>E227+F227-G227</f>
        <v>3250</v>
      </c>
      <c r="I227" s="127"/>
    </row>
    <row r="228" spans="1:9" ht="12.75" customHeight="1">
      <c r="A228" s="133"/>
      <c r="B228" s="178"/>
      <c r="C228" s="6">
        <v>4110</v>
      </c>
      <c r="D228" s="126" t="s">
        <v>192</v>
      </c>
      <c r="E228" s="50">
        <f>8500+560</f>
        <v>9060</v>
      </c>
      <c r="F228" s="50"/>
      <c r="G228" s="50"/>
      <c r="H228" s="20">
        <f>E228+F228-G228</f>
        <v>9060</v>
      </c>
      <c r="I228" s="127"/>
    </row>
    <row r="229" spans="1:256" s="123" customFormat="1" ht="12.75" customHeight="1">
      <c r="A229" s="133"/>
      <c r="B229" s="178"/>
      <c r="C229" s="6">
        <v>4120</v>
      </c>
      <c r="D229" s="126" t="s">
        <v>197</v>
      </c>
      <c r="E229" s="50">
        <f>1300+100</f>
        <v>1400</v>
      </c>
      <c r="F229" s="50"/>
      <c r="G229" s="50"/>
      <c r="H229" s="20">
        <f>E229+F229-G229</f>
        <v>1400</v>
      </c>
      <c r="I229" s="127"/>
      <c r="ID229" s="2"/>
      <c r="IE229" s="2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s="123" customFormat="1" ht="12.75" customHeight="1">
      <c r="A230" s="133"/>
      <c r="B230" s="178"/>
      <c r="C230" s="70">
        <v>4170</v>
      </c>
      <c r="D230" s="58" t="s">
        <v>175</v>
      </c>
      <c r="E230" s="50">
        <v>2000</v>
      </c>
      <c r="F230" s="50">
        <v>500</v>
      </c>
      <c r="G230" s="50"/>
      <c r="H230" s="20">
        <f>E230+F230-G230</f>
        <v>2500</v>
      </c>
      <c r="I230" s="127"/>
      <c r="ID230" s="2"/>
      <c r="IE230" s="2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s="123" customFormat="1" ht="12.75" customHeight="1">
      <c r="A231" s="133"/>
      <c r="B231" s="178"/>
      <c r="C231" s="6">
        <v>4210</v>
      </c>
      <c r="D231" s="126" t="s">
        <v>176</v>
      </c>
      <c r="E231" s="50">
        <v>1000</v>
      </c>
      <c r="F231" s="50"/>
      <c r="G231" s="50"/>
      <c r="H231" s="20">
        <f>E231+F231-G231</f>
        <v>1000</v>
      </c>
      <c r="I231" s="127"/>
      <c r="ID231" s="2"/>
      <c r="IE231" s="2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s="125" customFormat="1" ht="12.75" customHeight="1">
      <c r="A232" s="133"/>
      <c r="B232" s="178"/>
      <c r="C232" s="6">
        <v>4260</v>
      </c>
      <c r="D232" s="126" t="s">
        <v>205</v>
      </c>
      <c r="E232" s="191">
        <v>20000</v>
      </c>
      <c r="F232" s="191"/>
      <c r="G232" s="191"/>
      <c r="H232" s="20">
        <f>E232+F232-G232</f>
        <v>20000</v>
      </c>
      <c r="I232" s="127"/>
      <c r="ID232" s="2"/>
      <c r="IE232" s="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s="192" customFormat="1" ht="12.75" customHeight="1">
      <c r="A233" s="133"/>
      <c r="B233" s="178"/>
      <c r="C233" s="6">
        <v>4300</v>
      </c>
      <c r="D233" s="126" t="s">
        <v>193</v>
      </c>
      <c r="E233" s="33">
        <v>160000</v>
      </c>
      <c r="F233" s="33"/>
      <c r="G233" s="33"/>
      <c r="H233" s="20">
        <f>E233+F233-G233</f>
        <v>160000</v>
      </c>
      <c r="I233" s="127"/>
      <c r="ID233" s="2"/>
      <c r="IE233" s="2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s="192" customFormat="1" ht="12.75" customHeight="1">
      <c r="A234" s="133"/>
      <c r="B234" s="178"/>
      <c r="C234" s="6">
        <v>4440</v>
      </c>
      <c r="D234" s="126" t="s">
        <v>198</v>
      </c>
      <c r="E234" s="33">
        <v>2731</v>
      </c>
      <c r="F234" s="33"/>
      <c r="G234" s="33">
        <v>911</v>
      </c>
      <c r="H234" s="20">
        <f>E234+F234-G234</f>
        <v>1820</v>
      </c>
      <c r="I234" s="127"/>
      <c r="ID234" s="2"/>
      <c r="IE234" s="2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s="192" customFormat="1" ht="12.75" customHeight="1">
      <c r="A235" s="133"/>
      <c r="B235" s="74">
        <v>90004</v>
      </c>
      <c r="C235" s="49" t="s">
        <v>236</v>
      </c>
      <c r="D235" s="49"/>
      <c r="E235" s="23">
        <f>SUM(E236)</f>
        <v>3000</v>
      </c>
      <c r="F235" s="23">
        <f>SUM(F236)</f>
        <v>1500</v>
      </c>
      <c r="G235" s="23">
        <f>SUM(G236)</f>
        <v>0</v>
      </c>
      <c r="H235" s="23">
        <f>SUM(H236)</f>
        <v>4500</v>
      </c>
      <c r="I235" s="124"/>
      <c r="ID235" s="2"/>
      <c r="IE235" s="2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s="192" customFormat="1" ht="12.75" customHeight="1">
      <c r="A236" s="133"/>
      <c r="B236" s="164"/>
      <c r="C236" s="6">
        <v>4210</v>
      </c>
      <c r="D236" s="126" t="s">
        <v>176</v>
      </c>
      <c r="E236" s="33">
        <v>3000</v>
      </c>
      <c r="F236" s="33">
        <v>1500</v>
      </c>
      <c r="G236" s="33"/>
      <c r="H236" s="20">
        <f>E236+F236-G236</f>
        <v>4500</v>
      </c>
      <c r="I236" s="127"/>
      <c r="ID236" s="2"/>
      <c r="IE236" s="2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s="192" customFormat="1" ht="12.75" customHeight="1">
      <c r="A237" s="193"/>
      <c r="B237" s="48">
        <v>90015</v>
      </c>
      <c r="C237" s="49" t="s">
        <v>237</v>
      </c>
      <c r="D237" s="49"/>
      <c r="E237" s="23">
        <f>SUM(E238:E240)</f>
        <v>85000</v>
      </c>
      <c r="F237" s="23">
        <f>SUM(F238:F240)</f>
        <v>0</v>
      </c>
      <c r="G237" s="23">
        <f>SUM(G238:G240)</f>
        <v>0</v>
      </c>
      <c r="H237" s="23">
        <f>SUM(H238:H240)</f>
        <v>85000</v>
      </c>
      <c r="I237" s="124"/>
      <c r="ID237" s="2"/>
      <c r="IE237" s="2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9" ht="12.75" customHeight="1">
      <c r="A238" s="193"/>
      <c r="B238" s="178"/>
      <c r="C238" s="129">
        <v>4260</v>
      </c>
      <c r="D238" s="126" t="s">
        <v>205</v>
      </c>
      <c r="E238" s="135">
        <v>70000</v>
      </c>
      <c r="F238" s="135"/>
      <c r="G238" s="135"/>
      <c r="H238" s="20">
        <f>E238+F238-G238</f>
        <v>70000</v>
      </c>
      <c r="I238" s="127"/>
    </row>
    <row r="239" spans="1:9" ht="12.75" customHeight="1">
      <c r="A239" s="193"/>
      <c r="B239" s="178"/>
      <c r="C239" s="129">
        <v>4270</v>
      </c>
      <c r="D239" s="126" t="s">
        <v>222</v>
      </c>
      <c r="E239" s="135">
        <v>5000</v>
      </c>
      <c r="F239" s="135"/>
      <c r="G239" s="135"/>
      <c r="H239" s="20">
        <f>E239+F239-G239</f>
        <v>5000</v>
      </c>
      <c r="I239" s="127"/>
    </row>
    <row r="240" spans="1:256" s="125" customFormat="1" ht="12.75" customHeight="1">
      <c r="A240" s="193"/>
      <c r="B240" s="178"/>
      <c r="C240" s="6">
        <v>4300</v>
      </c>
      <c r="D240" s="126" t="s">
        <v>193</v>
      </c>
      <c r="E240" s="135">
        <v>10000</v>
      </c>
      <c r="F240" s="135"/>
      <c r="G240" s="135"/>
      <c r="H240" s="20">
        <f>E240+F240-G240</f>
        <v>10000</v>
      </c>
      <c r="I240" s="127"/>
      <c r="ID240" s="2"/>
      <c r="IE240" s="2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s="125" customFormat="1" ht="24.75">
      <c r="A241" s="193"/>
      <c r="B241" s="81">
        <v>90019</v>
      </c>
      <c r="C241" s="35" t="s">
        <v>238</v>
      </c>
      <c r="D241" s="35"/>
      <c r="E241" s="15">
        <f>SUM(E242)</f>
        <v>12500</v>
      </c>
      <c r="F241" s="15">
        <f>SUM(F242)</f>
        <v>0</v>
      </c>
      <c r="G241" s="15">
        <f>SUM(G242)</f>
        <v>0</v>
      </c>
      <c r="H241" s="15">
        <f>SUM(H242)</f>
        <v>12500</v>
      </c>
      <c r="I241" s="175"/>
      <c r="ID241" s="2"/>
      <c r="IE241" s="2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s="125" customFormat="1" ht="12.75" customHeight="1">
      <c r="A242" s="193"/>
      <c r="B242" s="194"/>
      <c r="C242" s="165">
        <v>4300</v>
      </c>
      <c r="D242" s="58" t="s">
        <v>193</v>
      </c>
      <c r="E242" s="19">
        <v>12500</v>
      </c>
      <c r="F242" s="19"/>
      <c r="G242" s="19"/>
      <c r="H242" s="20">
        <f>E242+F242-G242</f>
        <v>12500</v>
      </c>
      <c r="I242" s="127"/>
      <c r="ID242" s="2"/>
      <c r="IE242" s="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9" ht="12.75" customHeight="1">
      <c r="A243" s="133"/>
      <c r="B243" s="195">
        <v>90095</v>
      </c>
      <c r="C243" s="49" t="s">
        <v>16</v>
      </c>
      <c r="D243" s="49"/>
      <c r="E243" s="23">
        <f>SUM(E244:E254)</f>
        <v>360168</v>
      </c>
      <c r="F243" s="23">
        <f>SUM(F244:F254)</f>
        <v>6000</v>
      </c>
      <c r="G243" s="23">
        <f>SUM(G244:G254)</f>
        <v>0</v>
      </c>
      <c r="H243" s="23">
        <f>SUM(H244:H254)</f>
        <v>366168</v>
      </c>
      <c r="I243" s="124"/>
    </row>
    <row r="244" spans="1:9" ht="12.75" customHeight="1">
      <c r="A244" s="133"/>
      <c r="B244" s="195"/>
      <c r="C244" s="6">
        <v>3020</v>
      </c>
      <c r="D244" s="126" t="s">
        <v>203</v>
      </c>
      <c r="E244" s="135">
        <v>500</v>
      </c>
      <c r="F244" s="135"/>
      <c r="G244" s="135"/>
      <c r="H244" s="20">
        <f>E244+F244-G244</f>
        <v>500</v>
      </c>
      <c r="I244" s="127"/>
    </row>
    <row r="245" spans="1:256" s="125" customFormat="1" ht="12.75" customHeight="1">
      <c r="A245" s="133"/>
      <c r="B245" s="195"/>
      <c r="C245" s="6">
        <v>4010</v>
      </c>
      <c r="D245" s="126" t="s">
        <v>190</v>
      </c>
      <c r="E245" s="135">
        <v>10000</v>
      </c>
      <c r="F245" s="135"/>
      <c r="G245" s="135"/>
      <c r="H245" s="20">
        <f>E245+F245-G245</f>
        <v>10000</v>
      </c>
      <c r="I245" s="127"/>
      <c r="ID245" s="2"/>
      <c r="IE245" s="2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s="125" customFormat="1" ht="12.75" customHeight="1">
      <c r="A246" s="133"/>
      <c r="B246" s="195"/>
      <c r="C246" s="6">
        <v>4040</v>
      </c>
      <c r="D246" s="126" t="s">
        <v>196</v>
      </c>
      <c r="E246" s="135">
        <v>2000</v>
      </c>
      <c r="F246" s="135"/>
      <c r="G246" s="135"/>
      <c r="H246" s="20">
        <f>E246+F246-G246</f>
        <v>2000</v>
      </c>
      <c r="I246" s="127"/>
      <c r="ID246" s="2"/>
      <c r="IE246" s="2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s="125" customFormat="1" ht="12.75" customHeight="1">
      <c r="A247" s="133"/>
      <c r="B247" s="195"/>
      <c r="C247" s="6">
        <v>4110</v>
      </c>
      <c r="D247" s="126" t="s">
        <v>192</v>
      </c>
      <c r="E247" s="135">
        <v>2500</v>
      </c>
      <c r="F247" s="135"/>
      <c r="G247" s="135"/>
      <c r="H247" s="20">
        <f>E247+F247-G247</f>
        <v>2500</v>
      </c>
      <c r="I247" s="127"/>
      <c r="ID247" s="2"/>
      <c r="IE247" s="2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s="125" customFormat="1" ht="12.75" customHeight="1">
      <c r="A248" s="133"/>
      <c r="B248" s="164"/>
      <c r="C248" s="6">
        <v>4120</v>
      </c>
      <c r="D248" s="126" t="s">
        <v>197</v>
      </c>
      <c r="E248" s="135">
        <v>300</v>
      </c>
      <c r="F248" s="135"/>
      <c r="G248" s="135"/>
      <c r="H248" s="20">
        <f>E248+F248-G248</f>
        <v>300</v>
      </c>
      <c r="I248" s="127"/>
      <c r="ID248" s="2"/>
      <c r="IE248" s="2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s="125" customFormat="1" ht="12.75" customHeight="1">
      <c r="A249" s="133"/>
      <c r="B249" s="164"/>
      <c r="C249" s="70">
        <v>4170</v>
      </c>
      <c r="D249" s="58" t="s">
        <v>175</v>
      </c>
      <c r="E249" s="135">
        <v>10000</v>
      </c>
      <c r="F249" s="135"/>
      <c r="G249" s="135"/>
      <c r="H249" s="20">
        <f>E249+F249-G249</f>
        <v>10000</v>
      </c>
      <c r="I249" s="127"/>
      <c r="ID249" s="2"/>
      <c r="IE249" s="2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9" ht="12.75" customHeight="1">
      <c r="A250" s="133"/>
      <c r="B250" s="164"/>
      <c r="C250" s="6">
        <v>4210</v>
      </c>
      <c r="D250" s="126" t="s">
        <v>176</v>
      </c>
      <c r="E250" s="135">
        <v>52868</v>
      </c>
      <c r="F250" s="135">
        <v>4000</v>
      </c>
      <c r="G250" s="135"/>
      <c r="H250" s="20">
        <f>E250+F250-G250</f>
        <v>56868</v>
      </c>
      <c r="I250" s="127"/>
    </row>
    <row r="251" spans="1:256" s="125" customFormat="1" ht="12.75" customHeight="1">
      <c r="A251" s="133"/>
      <c r="B251" s="164"/>
      <c r="C251" s="6">
        <v>4260</v>
      </c>
      <c r="D251" s="126" t="s">
        <v>205</v>
      </c>
      <c r="E251" s="135">
        <v>3000</v>
      </c>
      <c r="F251" s="135">
        <v>2000</v>
      </c>
      <c r="G251" s="135"/>
      <c r="H251" s="20">
        <f>E251+F251-G251</f>
        <v>5000</v>
      </c>
      <c r="I251" s="127"/>
      <c r="ID251" s="2"/>
      <c r="IE251" s="2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s="125" customFormat="1" ht="12.75" customHeight="1">
      <c r="A252" s="133"/>
      <c r="B252" s="164"/>
      <c r="C252" s="6">
        <v>4300</v>
      </c>
      <c r="D252" s="126" t="s">
        <v>193</v>
      </c>
      <c r="E252" s="135">
        <v>139000</v>
      </c>
      <c r="F252" s="135"/>
      <c r="G252" s="135"/>
      <c r="H252" s="20">
        <f>E252+F252-G252</f>
        <v>139000</v>
      </c>
      <c r="I252" s="127"/>
      <c r="ID252" s="2"/>
      <c r="IE252" s="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s="125" customFormat="1" ht="12.75" customHeight="1">
      <c r="A253" s="133"/>
      <c r="B253" s="141"/>
      <c r="C253" s="6">
        <v>4430</v>
      </c>
      <c r="D253" s="126" t="s">
        <v>239</v>
      </c>
      <c r="E253" s="135">
        <v>10000</v>
      </c>
      <c r="F253" s="135"/>
      <c r="G253" s="135"/>
      <c r="H253" s="20">
        <f>E253+F253-G253</f>
        <v>10000</v>
      </c>
      <c r="I253" s="127"/>
      <c r="ID253" s="2"/>
      <c r="IE253" s="2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s="125" customFormat="1" ht="12.75" customHeight="1">
      <c r="A254" s="133"/>
      <c r="B254" s="141"/>
      <c r="C254" s="6">
        <v>6050</v>
      </c>
      <c r="D254" s="126" t="s">
        <v>171</v>
      </c>
      <c r="E254" s="135">
        <f>20000+80000+10000+10000+10000</f>
        <v>130000</v>
      </c>
      <c r="F254" s="135"/>
      <c r="G254" s="135"/>
      <c r="H254" s="20">
        <f>E254+F254-G254</f>
        <v>130000</v>
      </c>
      <c r="I254" s="127"/>
      <c r="ID254" s="2"/>
      <c r="IE254" s="2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s="125" customFormat="1" ht="13.5">
      <c r="A255" s="71">
        <v>921</v>
      </c>
      <c r="B255" s="72" t="s">
        <v>240</v>
      </c>
      <c r="C255" s="72"/>
      <c r="D255" s="72"/>
      <c r="E255" s="172">
        <f>SUM(E256,E258)</f>
        <v>305000</v>
      </c>
      <c r="F255" s="172">
        <f>SUM(F256,F258)</f>
        <v>0</v>
      </c>
      <c r="G255" s="172">
        <f>SUM(G256,G258)</f>
        <v>0</v>
      </c>
      <c r="H255" s="172">
        <f>SUM(H256,H258)</f>
        <v>305000</v>
      </c>
      <c r="I255" s="173"/>
      <c r="ID255" s="2"/>
      <c r="IE255" s="2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s="192" customFormat="1" ht="12.75">
      <c r="A256" s="133"/>
      <c r="B256" s="74">
        <v>92109</v>
      </c>
      <c r="C256" s="49" t="s">
        <v>241</v>
      </c>
      <c r="D256" s="49"/>
      <c r="E256" s="155">
        <f>SUM(E257)</f>
        <v>235000</v>
      </c>
      <c r="F256" s="155">
        <f>SUM(F257)</f>
        <v>0</v>
      </c>
      <c r="G256" s="155">
        <f>SUM(G257)</f>
        <v>0</v>
      </c>
      <c r="H256" s="155">
        <f>SUM(H257)</f>
        <v>235000</v>
      </c>
      <c r="I256" s="156"/>
      <c r="ID256" s="2"/>
      <c r="IE256" s="2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s="192" customFormat="1" ht="12.75">
      <c r="A257" s="133"/>
      <c r="B257" s="189"/>
      <c r="C257" s="165">
        <v>2480</v>
      </c>
      <c r="D257" s="196" t="s">
        <v>242</v>
      </c>
      <c r="E257" s="33">
        <v>235000</v>
      </c>
      <c r="F257" s="33"/>
      <c r="G257" s="33"/>
      <c r="H257" s="20">
        <f>E257+F257-G257</f>
        <v>235000</v>
      </c>
      <c r="I257" s="127"/>
      <c r="ID257" s="2"/>
      <c r="IE257" s="2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s="192" customFormat="1" ht="12.75">
      <c r="A258" s="133"/>
      <c r="B258" s="74">
        <v>92116</v>
      </c>
      <c r="C258" s="49" t="s">
        <v>243</v>
      </c>
      <c r="D258" s="49"/>
      <c r="E258" s="23">
        <f>SUM(E259)</f>
        <v>70000</v>
      </c>
      <c r="F258" s="23">
        <f>SUM(F259)</f>
        <v>0</v>
      </c>
      <c r="G258" s="23">
        <f>SUM(G259)</f>
        <v>0</v>
      </c>
      <c r="H258" s="23">
        <f>SUM(H259)</f>
        <v>70000</v>
      </c>
      <c r="I258" s="124"/>
      <c r="ID258" s="2"/>
      <c r="IE258" s="2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s="192" customFormat="1" ht="12.75">
      <c r="A259" s="146"/>
      <c r="B259" s="189"/>
      <c r="C259" s="165">
        <v>2480</v>
      </c>
      <c r="D259" s="196" t="s">
        <v>242</v>
      </c>
      <c r="E259" s="33">
        <v>70000</v>
      </c>
      <c r="F259" s="33"/>
      <c r="G259" s="33"/>
      <c r="H259" s="20">
        <f>E259+F259-G259</f>
        <v>70000</v>
      </c>
      <c r="I259" s="127"/>
      <c r="ID259" s="2"/>
      <c r="IE259" s="2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s="192" customFormat="1" ht="13.5">
      <c r="A260" s="71">
        <v>926</v>
      </c>
      <c r="B260" s="72" t="s">
        <v>244</v>
      </c>
      <c r="C260" s="72"/>
      <c r="D260" s="72"/>
      <c r="E260" s="121">
        <f>SUM(E261)</f>
        <v>28000</v>
      </c>
      <c r="F260" s="121">
        <f>SUM(F261)</f>
        <v>0</v>
      </c>
      <c r="G260" s="121">
        <f>SUM(G261)</f>
        <v>0</v>
      </c>
      <c r="H260" s="121">
        <f>SUM(H261)</f>
        <v>28000</v>
      </c>
      <c r="I260" s="122"/>
      <c r="ID260" s="2"/>
      <c r="IE260" s="2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s="123" customFormat="1" ht="12.75" customHeight="1">
      <c r="A261" s="133"/>
      <c r="B261" s="74">
        <v>92695</v>
      </c>
      <c r="C261" s="49" t="s">
        <v>16</v>
      </c>
      <c r="D261" s="49"/>
      <c r="E261" s="23">
        <f>SUM(E262)</f>
        <v>28000</v>
      </c>
      <c r="F261" s="23">
        <f>SUM(F262)</f>
        <v>0</v>
      </c>
      <c r="G261" s="23">
        <f>SUM(G262)</f>
        <v>0</v>
      </c>
      <c r="H261" s="23">
        <f>SUM(H262)</f>
        <v>28000</v>
      </c>
      <c r="I261" s="124"/>
      <c r="ID261" s="2"/>
      <c r="IE261" s="2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s="125" customFormat="1" ht="27.75" customHeight="1">
      <c r="A262" s="197"/>
      <c r="B262" s="198"/>
      <c r="C262" s="199">
        <v>2820</v>
      </c>
      <c r="D262" s="200" t="s">
        <v>245</v>
      </c>
      <c r="E262" s="201">
        <v>28000</v>
      </c>
      <c r="F262" s="201"/>
      <c r="G262" s="201"/>
      <c r="H262" s="20">
        <f>E262+F262-G262</f>
        <v>28000</v>
      </c>
      <c r="I262" s="127"/>
      <c r="ID262" s="2"/>
      <c r="IE262" s="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9" ht="17.25">
      <c r="A263" s="202" t="s">
        <v>246</v>
      </c>
      <c r="B263" s="202"/>
      <c r="C263" s="202"/>
      <c r="D263" s="202"/>
      <c r="E263" s="203">
        <f>SUM(E260,E255,E222,E178,E169,E105,E102,E99,E95,E82,E78,E37,E45,E28,E22,E19,E10,E41,E219)</f>
        <v>6863702</v>
      </c>
      <c r="F263" s="203">
        <f>SUM(F260,F255,F222,F178,F169,F105,F102,F99,F95,F82,F78,F37,F45,F28,F22,F19,F10,F41,F219)</f>
        <v>125034.54000000001</v>
      </c>
      <c r="G263" s="203">
        <f>SUM(G260,G255,G222,G178,G169,G105,G102,G99,G95,G82,G78,G37,G45,G28,G22,G19,G10,G41,G219)</f>
        <v>22576</v>
      </c>
      <c r="H263" s="203">
        <f>SUM(H260,H255,H222,H178,H169,H105,H102,H99,H95,H82,H78,H37,H45,H28,H22,H19,H10,H41,H219)</f>
        <v>6966160.54</v>
      </c>
      <c r="I263" s="204"/>
    </row>
    <row r="264" spans="1:9" ht="17.25">
      <c r="A264" s="205"/>
      <c r="B264" s="205"/>
      <c r="C264" s="205"/>
      <c r="D264" s="205"/>
      <c r="E264" s="206"/>
      <c r="F264" s="206"/>
      <c r="G264" s="206"/>
      <c r="H264" s="206"/>
      <c r="I264" s="206"/>
    </row>
  </sheetData>
  <mergeCells count="71">
    <mergeCell ref="A5:E5"/>
    <mergeCell ref="A7:A8"/>
    <mergeCell ref="B7:B8"/>
    <mergeCell ref="C7:C8"/>
    <mergeCell ref="D7:D8"/>
    <mergeCell ref="E7:E8"/>
    <mergeCell ref="F7:F8"/>
    <mergeCell ref="G7:G8"/>
    <mergeCell ref="H7:H8"/>
    <mergeCell ref="B10:D10"/>
    <mergeCell ref="C11:D11"/>
    <mergeCell ref="C13:D13"/>
    <mergeCell ref="C15:D15"/>
    <mergeCell ref="B19:D19"/>
    <mergeCell ref="C20:D20"/>
    <mergeCell ref="B22:D22"/>
    <mergeCell ref="C23:D23"/>
    <mergeCell ref="B28:D28"/>
    <mergeCell ref="C29:D29"/>
    <mergeCell ref="B37:D37"/>
    <mergeCell ref="C38:D38"/>
    <mergeCell ref="B41:D41"/>
    <mergeCell ref="C42:D42"/>
    <mergeCell ref="B45:D45"/>
    <mergeCell ref="C46:D46"/>
    <mergeCell ref="C52:D52"/>
    <mergeCell ref="C57:D57"/>
    <mergeCell ref="B78:D78"/>
    <mergeCell ref="C79:D79"/>
    <mergeCell ref="B82:D82"/>
    <mergeCell ref="C83:D83"/>
    <mergeCell ref="C90:D90"/>
    <mergeCell ref="C92:D92"/>
    <mergeCell ref="B95:D95"/>
    <mergeCell ref="C96:D96"/>
    <mergeCell ref="B99:D99"/>
    <mergeCell ref="C100:D100"/>
    <mergeCell ref="B102:D102"/>
    <mergeCell ref="C103:D103"/>
    <mergeCell ref="B105:D105"/>
    <mergeCell ref="C106:D106"/>
    <mergeCell ref="C125:D125"/>
    <mergeCell ref="C134:D134"/>
    <mergeCell ref="C153:D153"/>
    <mergeCell ref="C162:D162"/>
    <mergeCell ref="C166:D166"/>
    <mergeCell ref="B169:D169"/>
    <mergeCell ref="C170:D170"/>
    <mergeCell ref="B178:D178"/>
    <mergeCell ref="C179:D179"/>
    <mergeCell ref="C181:D181"/>
    <mergeCell ref="C195:D195"/>
    <mergeCell ref="C197:D197"/>
    <mergeCell ref="C199:D199"/>
    <mergeCell ref="C201:D201"/>
    <mergeCell ref="C215:D215"/>
    <mergeCell ref="C217:D217"/>
    <mergeCell ref="B219:D219"/>
    <mergeCell ref="C220:D220"/>
    <mergeCell ref="B222:D222"/>
    <mergeCell ref="C223:D223"/>
    <mergeCell ref="C235:D235"/>
    <mergeCell ref="C237:D237"/>
    <mergeCell ref="C241:D241"/>
    <mergeCell ref="C243:D243"/>
    <mergeCell ref="B255:D255"/>
    <mergeCell ref="C256:D256"/>
    <mergeCell ref="C258:D258"/>
    <mergeCell ref="B260:D260"/>
    <mergeCell ref="C261:D261"/>
    <mergeCell ref="A263:D263"/>
  </mergeCells>
  <printOptions horizontalCentered="1"/>
  <pageMargins left="0.7875" right="0.7875" top="0.7875" bottom="0.39375" header="0.5118055555555555" footer="0.5118055555555555"/>
  <pageSetup horizontalDpi="300" verticalDpi="300" orientation="landscape" paperSize="9" scale="75"/>
  <rowBreaks count="5" manualBreakCount="5">
    <brk id="44" max="255" man="1"/>
    <brk id="94" max="255" man="1"/>
    <brk id="133" max="255" man="1"/>
    <brk id="177" max="255" man="1"/>
    <brk id="218" max="255" man="1"/>
  </rowBreaks>
  <colBreaks count="1" manualBreakCount="1">
    <brk id="8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5"/>
  <sheetViews>
    <sheetView zoomScale="85" zoomScaleNormal="85" zoomScaleSheetLayoutView="55" workbookViewId="0" topLeftCell="A1">
      <selection activeCell="E36" sqref="E36"/>
    </sheetView>
  </sheetViews>
  <sheetFormatPr defaultColWidth="9.00390625" defaultRowHeight="12.75"/>
  <cols>
    <col min="1" max="1" width="5.125" style="111" customWidth="1"/>
    <col min="2" max="2" width="6.75390625" style="111" customWidth="1"/>
    <col min="3" max="3" width="6.125" style="111" customWidth="1"/>
    <col min="4" max="4" width="61.25390625" style="111" customWidth="1"/>
    <col min="5" max="5" width="15.875" style="111" customWidth="1"/>
    <col min="6" max="7" width="13.25390625" style="111" customWidth="1"/>
    <col min="8" max="8" width="15.875" style="111" customWidth="1"/>
    <col min="9" max="9" width="4.00390625" style="111" customWidth="1"/>
    <col min="10" max="244" width="9.00390625" style="111" customWidth="1"/>
  </cols>
  <sheetData>
    <row r="1" spans="4:9" ht="17.25">
      <c r="D1" s="207" t="s">
        <v>247</v>
      </c>
      <c r="E1"/>
      <c r="F1" s="115"/>
      <c r="G1" s="115"/>
      <c r="H1" s="115"/>
      <c r="I1" s="115"/>
    </row>
    <row r="2" spans="5:9" ht="25.5" customHeight="1">
      <c r="E2" s="7" t="s">
        <v>6</v>
      </c>
      <c r="F2" s="7" t="s">
        <v>7</v>
      </c>
      <c r="G2" s="7" t="s">
        <v>8</v>
      </c>
      <c r="H2" s="7" t="s">
        <v>9</v>
      </c>
      <c r="I2" s="115"/>
    </row>
    <row r="3" spans="1:9" ht="15">
      <c r="A3" s="46">
        <v>801</v>
      </c>
      <c r="B3" s="208" t="s">
        <v>111</v>
      </c>
      <c r="C3" s="208"/>
      <c r="D3" s="208"/>
      <c r="E3" s="209">
        <f>SUM(E4,E23,E42,E60,E79,E88,E92,E51)</f>
        <v>2261399</v>
      </c>
      <c r="F3" s="209">
        <f>SUM(F4,F23,F42,F60,F79,F88,F92,F51)</f>
        <v>2500</v>
      </c>
      <c r="G3" s="209">
        <f>SUM(G4,G23,G42,G60,G79,G88,G92,G51)</f>
        <v>2500</v>
      </c>
      <c r="H3" s="209">
        <f>SUM(H4,H23,H42,H60,H79,H88,H92,H51)</f>
        <v>2261399</v>
      </c>
      <c r="I3" s="210"/>
    </row>
    <row r="4" spans="1:9" ht="12.75" customHeight="1">
      <c r="A4" s="47"/>
      <c r="B4" s="211">
        <v>80101</v>
      </c>
      <c r="C4" s="212" t="s">
        <v>248</v>
      </c>
      <c r="D4" s="212"/>
      <c r="E4" s="213">
        <f>SUM(E5:E22)</f>
        <v>661320</v>
      </c>
      <c r="F4" s="213">
        <f>SUM(F5:F22)</f>
        <v>0</v>
      </c>
      <c r="G4" s="213">
        <f>SUM(G5:G22)</f>
        <v>0</v>
      </c>
      <c r="H4" s="213">
        <f>SUM(H5:H22)</f>
        <v>661320</v>
      </c>
      <c r="I4" s="214"/>
    </row>
    <row r="5" spans="1:9" ht="12.75" customHeight="1">
      <c r="A5" s="47"/>
      <c r="B5" s="215"/>
      <c r="C5" s="165">
        <v>3020</v>
      </c>
      <c r="D5" s="166" t="s">
        <v>203</v>
      </c>
      <c r="E5" s="216">
        <v>39000</v>
      </c>
      <c r="F5" s="216"/>
      <c r="G5" s="216"/>
      <c r="H5" s="216">
        <f>E5+F5-G5</f>
        <v>39000</v>
      </c>
      <c r="I5" s="217"/>
    </row>
    <row r="6" spans="1:9" ht="15">
      <c r="A6" s="47"/>
      <c r="B6" s="215"/>
      <c r="C6" s="129">
        <v>3040</v>
      </c>
      <c r="D6" s="59" t="s">
        <v>204</v>
      </c>
      <c r="E6" s="216">
        <v>4000</v>
      </c>
      <c r="F6" s="216"/>
      <c r="G6" s="216"/>
      <c r="H6" s="216">
        <f>E6+F6-G6</f>
        <v>4000</v>
      </c>
      <c r="I6" s="217"/>
    </row>
    <row r="7" spans="1:9" ht="12.75" customHeight="1">
      <c r="A7" s="47"/>
      <c r="B7" s="215"/>
      <c r="C7" s="165">
        <v>4010</v>
      </c>
      <c r="D7" s="166" t="s">
        <v>190</v>
      </c>
      <c r="E7" s="216">
        <v>404210</v>
      </c>
      <c r="F7" s="216"/>
      <c r="G7" s="216"/>
      <c r="H7" s="216">
        <f>E7+F7-G7</f>
        <v>404210</v>
      </c>
      <c r="I7" s="217"/>
    </row>
    <row r="8" spans="1:9" ht="12.75" customHeight="1">
      <c r="A8" s="47"/>
      <c r="B8" s="215"/>
      <c r="C8" s="165">
        <v>4040</v>
      </c>
      <c r="D8" s="166" t="s">
        <v>220</v>
      </c>
      <c r="E8" s="50">
        <v>31000</v>
      </c>
      <c r="F8" s="50"/>
      <c r="G8" s="50"/>
      <c r="H8" s="216">
        <f>E8+F8-G8</f>
        <v>31000</v>
      </c>
      <c r="I8" s="217"/>
    </row>
    <row r="9" spans="1:9" ht="12.75" customHeight="1">
      <c r="A9" s="47"/>
      <c r="B9" s="215"/>
      <c r="C9" s="165">
        <v>4110</v>
      </c>
      <c r="D9" s="166" t="s">
        <v>192</v>
      </c>
      <c r="E9" s="216">
        <v>75500</v>
      </c>
      <c r="F9" s="216"/>
      <c r="G9" s="216"/>
      <c r="H9" s="216">
        <f>E9+F9-G9</f>
        <v>75500</v>
      </c>
      <c r="I9" s="217"/>
    </row>
    <row r="10" spans="1:9" ht="12.75" customHeight="1">
      <c r="A10" s="47"/>
      <c r="B10" s="215"/>
      <c r="C10" s="165">
        <v>4120</v>
      </c>
      <c r="D10" s="166" t="s">
        <v>197</v>
      </c>
      <c r="E10" s="216">
        <v>11000</v>
      </c>
      <c r="F10" s="216"/>
      <c r="G10" s="216"/>
      <c r="H10" s="216">
        <f>E10+F10-G10</f>
        <v>11000</v>
      </c>
      <c r="I10" s="217"/>
    </row>
    <row r="11" spans="1:9" ht="12.75" customHeight="1">
      <c r="A11" s="47"/>
      <c r="B11" s="215"/>
      <c r="C11" s="165">
        <v>4210</v>
      </c>
      <c r="D11" s="166" t="s">
        <v>176</v>
      </c>
      <c r="E11" s="216">
        <v>30000</v>
      </c>
      <c r="F11" s="216"/>
      <c r="G11" s="216"/>
      <c r="H11" s="216">
        <f>E11+F11-G11</f>
        <v>30000</v>
      </c>
      <c r="I11" s="217"/>
    </row>
    <row r="12" spans="1:9" ht="12.75" customHeight="1">
      <c r="A12" s="47"/>
      <c r="B12" s="215"/>
      <c r="C12" s="165">
        <v>4240</v>
      </c>
      <c r="D12" s="166" t="s">
        <v>221</v>
      </c>
      <c r="E12" s="216">
        <v>1000</v>
      </c>
      <c r="F12" s="216"/>
      <c r="G12" s="216"/>
      <c r="H12" s="216">
        <f>E12+F12-G12</f>
        <v>1000</v>
      </c>
      <c r="I12" s="217"/>
    </row>
    <row r="13" spans="1:9" ht="12.75" customHeight="1">
      <c r="A13" s="47"/>
      <c r="B13" s="215"/>
      <c r="C13" s="165">
        <v>4260</v>
      </c>
      <c r="D13" s="166" t="s">
        <v>205</v>
      </c>
      <c r="E13" s="216">
        <v>6000</v>
      </c>
      <c r="F13" s="216"/>
      <c r="G13" s="216"/>
      <c r="H13" s="216">
        <f>E13+F13-G13</f>
        <v>6000</v>
      </c>
      <c r="I13" s="217"/>
    </row>
    <row r="14" spans="1:9" ht="12.75" customHeight="1">
      <c r="A14" s="47"/>
      <c r="B14" s="215"/>
      <c r="C14" s="129">
        <v>4270</v>
      </c>
      <c r="D14" s="126" t="s">
        <v>222</v>
      </c>
      <c r="E14" s="216">
        <v>10000</v>
      </c>
      <c r="F14" s="216"/>
      <c r="G14" s="216"/>
      <c r="H14" s="216">
        <f>E14+F14-G14</f>
        <v>10000</v>
      </c>
      <c r="I14" s="217"/>
    </row>
    <row r="15" spans="1:9" ht="12.75" customHeight="1">
      <c r="A15" s="47"/>
      <c r="B15" s="215"/>
      <c r="C15" s="165">
        <v>4300</v>
      </c>
      <c r="D15" s="166" t="s">
        <v>194</v>
      </c>
      <c r="E15" s="216">
        <v>15000</v>
      </c>
      <c r="F15" s="216"/>
      <c r="G15" s="216"/>
      <c r="H15" s="216">
        <f>E15+F15-G15</f>
        <v>15000</v>
      </c>
      <c r="I15" s="217"/>
    </row>
    <row r="16" spans="1:9" ht="12.75" customHeight="1">
      <c r="A16" s="47"/>
      <c r="B16" s="215"/>
      <c r="C16" s="129">
        <v>4350</v>
      </c>
      <c r="D16" s="126" t="s">
        <v>206</v>
      </c>
      <c r="E16" s="216">
        <v>1000</v>
      </c>
      <c r="F16" s="216"/>
      <c r="G16" s="216"/>
      <c r="H16" s="216">
        <f>E16+F16-G16</f>
        <v>1000</v>
      </c>
      <c r="I16" s="217"/>
    </row>
    <row r="17" spans="1:9" ht="12.75" customHeight="1">
      <c r="A17" s="47"/>
      <c r="B17" s="215"/>
      <c r="C17" s="129">
        <v>4370</v>
      </c>
      <c r="D17" s="126" t="s">
        <v>208</v>
      </c>
      <c r="E17" s="216">
        <v>2000</v>
      </c>
      <c r="F17" s="216"/>
      <c r="G17" s="216"/>
      <c r="H17" s="216">
        <f>E17+F17-G17</f>
        <v>2000</v>
      </c>
      <c r="I17" s="217"/>
    </row>
    <row r="18" spans="1:9" ht="12.75" customHeight="1">
      <c r="A18" s="47"/>
      <c r="B18" s="215"/>
      <c r="C18" s="165">
        <v>4410</v>
      </c>
      <c r="D18" s="166" t="s">
        <v>201</v>
      </c>
      <c r="E18" s="216">
        <v>500</v>
      </c>
      <c r="F18" s="216"/>
      <c r="G18" s="216"/>
      <c r="H18" s="216">
        <f>E18+F18-G18</f>
        <v>500</v>
      </c>
      <c r="I18" s="217"/>
    </row>
    <row r="19" spans="1:9" ht="12.75" customHeight="1">
      <c r="A19" s="47"/>
      <c r="B19" s="215"/>
      <c r="C19" s="165">
        <v>4430</v>
      </c>
      <c r="D19" s="166" t="s">
        <v>177</v>
      </c>
      <c r="E19" s="216">
        <v>500</v>
      </c>
      <c r="F19" s="216"/>
      <c r="G19" s="216"/>
      <c r="H19" s="216">
        <f>E19+F19-G19</f>
        <v>500</v>
      </c>
      <c r="I19" s="217"/>
    </row>
    <row r="20" spans="1:9" ht="12.75" customHeight="1">
      <c r="A20" s="47"/>
      <c r="B20" s="215"/>
      <c r="C20" s="165">
        <v>4440</v>
      </c>
      <c r="D20" s="166" t="s">
        <v>198</v>
      </c>
      <c r="E20" s="216">
        <f>1820+24790</f>
        <v>26610</v>
      </c>
      <c r="F20" s="216"/>
      <c r="G20" s="216"/>
      <c r="H20" s="216">
        <f>E20+F20-G20</f>
        <v>26610</v>
      </c>
      <c r="I20" s="217"/>
    </row>
    <row r="21" spans="1:9" ht="24.75">
      <c r="A21" s="47"/>
      <c r="B21" s="215"/>
      <c r="C21" s="129">
        <v>4740</v>
      </c>
      <c r="D21" s="24" t="s">
        <v>210</v>
      </c>
      <c r="E21" s="216">
        <v>2000</v>
      </c>
      <c r="F21" s="216"/>
      <c r="G21" s="216"/>
      <c r="H21" s="216">
        <f>E21+F21-G21</f>
        <v>2000</v>
      </c>
      <c r="I21" s="217"/>
    </row>
    <row r="22" spans="1:9" ht="12.75" customHeight="1">
      <c r="A22" s="47"/>
      <c r="B22" s="218"/>
      <c r="C22" s="129">
        <v>4750</v>
      </c>
      <c r="D22" s="24" t="s">
        <v>211</v>
      </c>
      <c r="E22" s="216">
        <v>2000</v>
      </c>
      <c r="F22" s="216"/>
      <c r="G22" s="216"/>
      <c r="H22" s="216">
        <f>E22+F22-G22</f>
        <v>2000</v>
      </c>
      <c r="I22" s="217"/>
    </row>
    <row r="23" spans="1:9" ht="12.75" customHeight="1">
      <c r="A23" s="133"/>
      <c r="B23" s="211">
        <v>80101</v>
      </c>
      <c r="C23" s="212" t="s">
        <v>249</v>
      </c>
      <c r="D23" s="212"/>
      <c r="E23" s="219">
        <f>SUM(E24:E41)</f>
        <v>569160</v>
      </c>
      <c r="F23" s="219">
        <f>SUM(F24:F41)</f>
        <v>500</v>
      </c>
      <c r="G23" s="219">
        <f>SUM(G24:G41)</f>
        <v>500</v>
      </c>
      <c r="H23" s="219">
        <f>SUM(H24:H41)</f>
        <v>569160</v>
      </c>
      <c r="I23" s="220"/>
    </row>
    <row r="24" spans="1:9" ht="12.75">
      <c r="A24" s="133"/>
      <c r="B24" s="221"/>
      <c r="C24" s="165">
        <v>3020</v>
      </c>
      <c r="D24" s="196" t="s">
        <v>203</v>
      </c>
      <c r="E24" s="216">
        <f>19800+7700+3200</f>
        <v>30700</v>
      </c>
      <c r="F24" s="216"/>
      <c r="G24" s="216"/>
      <c r="H24" s="216">
        <f>E24+F24-G24</f>
        <v>30700</v>
      </c>
      <c r="I24" s="217"/>
    </row>
    <row r="25" spans="1:9" ht="12.75">
      <c r="A25" s="133"/>
      <c r="B25" s="221"/>
      <c r="C25" s="129">
        <v>3040</v>
      </c>
      <c r="D25" s="59" t="s">
        <v>204</v>
      </c>
      <c r="E25" s="216">
        <v>3500</v>
      </c>
      <c r="F25" s="216"/>
      <c r="G25" s="216"/>
      <c r="H25" s="216">
        <f>E25+F25-G25</f>
        <v>3500</v>
      </c>
      <c r="I25" s="217"/>
    </row>
    <row r="26" spans="1:9" ht="12.75">
      <c r="A26" s="133"/>
      <c r="B26" s="221"/>
      <c r="C26" s="165">
        <v>4010</v>
      </c>
      <c r="D26" s="166" t="s">
        <v>190</v>
      </c>
      <c r="E26" s="216">
        <v>334100</v>
      </c>
      <c r="F26" s="216"/>
      <c r="G26" s="216"/>
      <c r="H26" s="216">
        <f>E26+F26-G26</f>
        <v>334100</v>
      </c>
      <c r="I26" s="217"/>
    </row>
    <row r="27" spans="1:9" ht="12.75">
      <c r="A27" s="133"/>
      <c r="B27" s="221"/>
      <c r="C27" s="165">
        <v>4040</v>
      </c>
      <c r="D27" s="166" t="s">
        <v>220</v>
      </c>
      <c r="E27" s="50">
        <v>29200</v>
      </c>
      <c r="F27" s="50"/>
      <c r="G27" s="50"/>
      <c r="H27" s="216">
        <f>E27+F27-G27</f>
        <v>29200</v>
      </c>
      <c r="I27" s="217"/>
    </row>
    <row r="28" spans="1:9" ht="12.75">
      <c r="A28" s="133"/>
      <c r="B28" s="221"/>
      <c r="C28" s="165">
        <v>4110</v>
      </c>
      <c r="D28" s="166" t="s">
        <v>192</v>
      </c>
      <c r="E28" s="216">
        <f>59900+5000</f>
        <v>64900</v>
      </c>
      <c r="F28" s="216"/>
      <c r="G28" s="216"/>
      <c r="H28" s="216">
        <f>E28+F28-G28</f>
        <v>64900</v>
      </c>
      <c r="I28" s="217"/>
    </row>
    <row r="29" spans="1:9" ht="12.75">
      <c r="A29" s="133"/>
      <c r="B29" s="221"/>
      <c r="C29" s="165">
        <v>4120</v>
      </c>
      <c r="D29" s="166" t="s">
        <v>197</v>
      </c>
      <c r="E29" s="216">
        <v>9200</v>
      </c>
      <c r="F29" s="216"/>
      <c r="G29" s="216"/>
      <c r="H29" s="216">
        <f>E29+F29-G29</f>
        <v>9200</v>
      </c>
      <c r="I29" s="217"/>
    </row>
    <row r="30" spans="1:9" ht="12.75">
      <c r="A30" s="133"/>
      <c r="B30" s="221"/>
      <c r="C30" s="165">
        <v>4210</v>
      </c>
      <c r="D30" s="166" t="s">
        <v>176</v>
      </c>
      <c r="E30" s="216">
        <v>46000</v>
      </c>
      <c r="F30" s="216"/>
      <c r="G30" s="216"/>
      <c r="H30" s="216">
        <f>E30+F30-G30</f>
        <v>46000</v>
      </c>
      <c r="I30" s="217"/>
    </row>
    <row r="31" spans="1:9" ht="12.75">
      <c r="A31" s="133"/>
      <c r="B31" s="221"/>
      <c r="C31" s="165">
        <v>4240</v>
      </c>
      <c r="D31" s="166" t="s">
        <v>221</v>
      </c>
      <c r="E31" s="216">
        <v>500</v>
      </c>
      <c r="F31" s="216"/>
      <c r="G31" s="216"/>
      <c r="H31" s="216">
        <f>E31+F31-G31</f>
        <v>500</v>
      </c>
      <c r="I31" s="217"/>
    </row>
    <row r="32" spans="1:9" ht="12.75">
      <c r="A32" s="133"/>
      <c r="B32" s="221"/>
      <c r="C32" s="165">
        <v>4260</v>
      </c>
      <c r="D32" s="166" t="s">
        <v>205</v>
      </c>
      <c r="E32" s="216">
        <v>6000</v>
      </c>
      <c r="F32" s="216"/>
      <c r="G32" s="216"/>
      <c r="H32" s="216">
        <f>E32+F32-G32</f>
        <v>6000</v>
      </c>
      <c r="I32" s="217"/>
    </row>
    <row r="33" spans="1:9" ht="12.75">
      <c r="A33" s="133"/>
      <c r="B33" s="221"/>
      <c r="C33" s="129">
        <v>4270</v>
      </c>
      <c r="D33" s="126" t="s">
        <v>222</v>
      </c>
      <c r="E33" s="216">
        <v>10000</v>
      </c>
      <c r="F33" s="216"/>
      <c r="G33" s="216"/>
      <c r="H33" s="216">
        <f>E33+F33-G33</f>
        <v>10000</v>
      </c>
      <c r="I33" s="217"/>
    </row>
    <row r="34" spans="1:9" ht="12.75">
      <c r="A34" s="133"/>
      <c r="B34" s="221"/>
      <c r="C34" s="165">
        <v>4300</v>
      </c>
      <c r="D34" s="166" t="s">
        <v>194</v>
      </c>
      <c r="E34" s="216">
        <v>5000</v>
      </c>
      <c r="F34" s="216"/>
      <c r="G34" s="216"/>
      <c r="H34" s="216">
        <f>E34+F34-G34</f>
        <v>5000</v>
      </c>
      <c r="I34" s="217"/>
    </row>
    <row r="35" spans="1:9" ht="12.75">
      <c r="A35" s="133"/>
      <c r="B35" s="221"/>
      <c r="C35" s="129">
        <v>4350</v>
      </c>
      <c r="D35" s="126" t="s">
        <v>206</v>
      </c>
      <c r="E35" s="216">
        <v>1500</v>
      </c>
      <c r="F35" s="216"/>
      <c r="G35" s="216">
        <v>500</v>
      </c>
      <c r="H35" s="216">
        <f>E35+F35-G35</f>
        <v>1000</v>
      </c>
      <c r="I35" s="217"/>
    </row>
    <row r="36" spans="1:9" ht="12.75">
      <c r="A36" s="133"/>
      <c r="B36" s="221"/>
      <c r="C36" s="129">
        <v>4370</v>
      </c>
      <c r="D36" s="126" t="s">
        <v>208</v>
      </c>
      <c r="E36" s="216">
        <v>2000</v>
      </c>
      <c r="F36" s="216"/>
      <c r="G36" s="216"/>
      <c r="H36" s="216">
        <f>E36+F36-G36</f>
        <v>2000</v>
      </c>
      <c r="I36" s="217"/>
    </row>
    <row r="37" spans="1:9" ht="12.75">
      <c r="A37" s="133"/>
      <c r="B37" s="221"/>
      <c r="C37" s="165">
        <v>4410</v>
      </c>
      <c r="D37" s="166" t="s">
        <v>201</v>
      </c>
      <c r="E37" s="216">
        <v>500</v>
      </c>
      <c r="F37" s="216">
        <v>500</v>
      </c>
      <c r="G37" s="216"/>
      <c r="H37" s="216">
        <f>E37+F37-G37</f>
        <v>1000</v>
      </c>
      <c r="I37" s="217"/>
    </row>
    <row r="38" spans="1:9" ht="12.75">
      <c r="A38" s="133"/>
      <c r="B38" s="221"/>
      <c r="C38" s="165">
        <v>4430</v>
      </c>
      <c r="D38" s="166" t="s">
        <v>177</v>
      </c>
      <c r="E38" s="216">
        <v>500</v>
      </c>
      <c r="F38" s="216"/>
      <c r="G38" s="216"/>
      <c r="H38" s="216">
        <f>E38+F38-G38</f>
        <v>500</v>
      </c>
      <c r="I38" s="217"/>
    </row>
    <row r="39" spans="1:9" ht="12.75">
      <c r="A39" s="133"/>
      <c r="B39" s="221"/>
      <c r="C39" s="165">
        <v>4440</v>
      </c>
      <c r="D39" s="166" t="s">
        <v>198</v>
      </c>
      <c r="E39" s="216">
        <f>2730+19830</f>
        <v>22560</v>
      </c>
      <c r="F39" s="216"/>
      <c r="G39" s="216"/>
      <c r="H39" s="216">
        <f>E39+F39-G39</f>
        <v>22560</v>
      </c>
      <c r="I39" s="217"/>
    </row>
    <row r="40" spans="1:9" ht="24.75">
      <c r="A40" s="133"/>
      <c r="B40" s="221"/>
      <c r="C40" s="129">
        <v>4740</v>
      </c>
      <c r="D40" s="24" t="s">
        <v>210</v>
      </c>
      <c r="E40" s="216">
        <v>400</v>
      </c>
      <c r="F40" s="216"/>
      <c r="G40" s="216"/>
      <c r="H40" s="216">
        <f>E40+F40-G40</f>
        <v>400</v>
      </c>
      <c r="I40" s="217"/>
    </row>
    <row r="41" spans="1:9" ht="12.75">
      <c r="A41" s="133"/>
      <c r="B41" s="222"/>
      <c r="C41" s="129">
        <v>4750</v>
      </c>
      <c r="D41" s="24" t="s">
        <v>211</v>
      </c>
      <c r="E41" s="216">
        <v>2600</v>
      </c>
      <c r="F41" s="216"/>
      <c r="G41" s="216"/>
      <c r="H41" s="216">
        <f>E41+F41-G41</f>
        <v>2600</v>
      </c>
      <c r="I41" s="217"/>
    </row>
    <row r="42" spans="1:9" ht="14.25" customHeight="1">
      <c r="A42" s="133"/>
      <c r="B42" s="211">
        <v>80104</v>
      </c>
      <c r="C42" s="223" t="s">
        <v>250</v>
      </c>
      <c r="D42" s="223"/>
      <c r="E42" s="219">
        <f>SUM(E43:E50)</f>
        <v>36803</v>
      </c>
      <c r="F42" s="219">
        <f>SUM(F43:F50)</f>
        <v>0</v>
      </c>
      <c r="G42" s="219">
        <f>SUM(G43:G50)</f>
        <v>0</v>
      </c>
      <c r="H42" s="219">
        <f>SUM(H43:H50)</f>
        <v>36803</v>
      </c>
      <c r="I42" s="220"/>
    </row>
    <row r="43" spans="1:9" ht="12.75">
      <c r="A43" s="133"/>
      <c r="B43" s="221"/>
      <c r="C43" s="165">
        <v>3020</v>
      </c>
      <c r="D43" s="166" t="s">
        <v>203</v>
      </c>
      <c r="E43" s="33">
        <f>1800+200</f>
        <v>2000</v>
      </c>
      <c r="F43" s="33"/>
      <c r="G43" s="33"/>
      <c r="H43" s="216">
        <f>E43+F43-G43</f>
        <v>2000</v>
      </c>
      <c r="I43" s="217"/>
    </row>
    <row r="44" spans="1:9" ht="12.75">
      <c r="A44" s="133"/>
      <c r="B44" s="221"/>
      <c r="C44" s="129">
        <v>3040</v>
      </c>
      <c r="D44" s="59" t="s">
        <v>204</v>
      </c>
      <c r="E44" s="33">
        <v>500</v>
      </c>
      <c r="F44" s="33"/>
      <c r="G44" s="33"/>
      <c r="H44" s="216">
        <f>E44+F44-G44</f>
        <v>500</v>
      </c>
      <c r="I44" s="217"/>
    </row>
    <row r="45" spans="1:9" ht="12.75">
      <c r="A45" s="133"/>
      <c r="B45" s="221"/>
      <c r="C45" s="165">
        <v>4010</v>
      </c>
      <c r="D45" s="166" t="s">
        <v>190</v>
      </c>
      <c r="E45" s="216">
        <v>23200</v>
      </c>
      <c r="F45" s="216"/>
      <c r="G45" s="216"/>
      <c r="H45" s="216">
        <f>E45+F45-G45</f>
        <v>23200</v>
      </c>
      <c r="I45" s="217"/>
    </row>
    <row r="46" spans="1:9" ht="12.75">
      <c r="A46" s="133"/>
      <c r="B46" s="221"/>
      <c r="C46" s="165">
        <v>4040</v>
      </c>
      <c r="D46" s="166" t="s">
        <v>196</v>
      </c>
      <c r="E46" s="216">
        <v>4100</v>
      </c>
      <c r="F46" s="216"/>
      <c r="G46" s="216"/>
      <c r="H46" s="216">
        <f>E46+F46-G46</f>
        <v>4100</v>
      </c>
      <c r="I46" s="217"/>
    </row>
    <row r="47" spans="1:9" ht="12.75">
      <c r="A47" s="133"/>
      <c r="B47" s="221"/>
      <c r="C47" s="165">
        <v>4110</v>
      </c>
      <c r="D47" s="166" t="s">
        <v>192</v>
      </c>
      <c r="E47" s="216">
        <v>4300</v>
      </c>
      <c r="F47" s="216"/>
      <c r="G47" s="216"/>
      <c r="H47" s="216">
        <f>E47+F47-G47</f>
        <v>4300</v>
      </c>
      <c r="I47" s="217"/>
    </row>
    <row r="48" spans="1:9" ht="12.75">
      <c r="A48" s="133"/>
      <c r="B48" s="221"/>
      <c r="C48" s="165">
        <v>4120</v>
      </c>
      <c r="D48" s="166" t="s">
        <v>197</v>
      </c>
      <c r="E48" s="216">
        <v>620</v>
      </c>
      <c r="F48" s="216"/>
      <c r="G48" s="216"/>
      <c r="H48" s="216">
        <f>E48+F48-G48</f>
        <v>620</v>
      </c>
      <c r="I48" s="217"/>
    </row>
    <row r="49" spans="1:9" ht="12.75">
      <c r="A49" s="133"/>
      <c r="B49" s="221"/>
      <c r="C49" s="165">
        <v>4410</v>
      </c>
      <c r="D49" s="166" t="s">
        <v>201</v>
      </c>
      <c r="E49" s="216">
        <v>100</v>
      </c>
      <c r="F49" s="216"/>
      <c r="G49" s="216"/>
      <c r="H49" s="216">
        <f>E49+F49-G49</f>
        <v>100</v>
      </c>
      <c r="I49" s="217"/>
    </row>
    <row r="50" spans="1:9" ht="12.75">
      <c r="A50" s="146"/>
      <c r="B50" s="194"/>
      <c r="C50" s="165">
        <v>4440</v>
      </c>
      <c r="D50" s="166" t="s">
        <v>198</v>
      </c>
      <c r="E50" s="216">
        <v>1983</v>
      </c>
      <c r="F50" s="216"/>
      <c r="G50" s="216"/>
      <c r="H50" s="216">
        <f>E50+F50-G50</f>
        <v>1983</v>
      </c>
      <c r="I50" s="217"/>
    </row>
    <row r="51" spans="1:9" ht="12.75">
      <c r="A51" s="163"/>
      <c r="B51" s="81">
        <v>80104</v>
      </c>
      <c r="C51" s="223" t="s">
        <v>251</v>
      </c>
      <c r="D51" s="223"/>
      <c r="E51" s="219">
        <f>SUM(E52:E59)</f>
        <v>44483</v>
      </c>
      <c r="F51" s="219">
        <f>SUM(F52:F59)</f>
        <v>0</v>
      </c>
      <c r="G51" s="219">
        <f>SUM(G52:G59)</f>
        <v>0</v>
      </c>
      <c r="H51" s="219">
        <f>SUM(H52:H59)</f>
        <v>44483</v>
      </c>
      <c r="I51" s="220"/>
    </row>
    <row r="52" spans="1:9" ht="12.75">
      <c r="A52" s="133"/>
      <c r="B52" s="81"/>
      <c r="C52" s="165">
        <v>3020</v>
      </c>
      <c r="D52" s="166" t="s">
        <v>203</v>
      </c>
      <c r="E52" s="216">
        <f>2100+700+300</f>
        <v>3100</v>
      </c>
      <c r="F52" s="216"/>
      <c r="G52" s="216"/>
      <c r="H52" s="216">
        <f>E52+F52-G52</f>
        <v>3100</v>
      </c>
      <c r="I52" s="217"/>
    </row>
    <row r="53" spans="1:9" ht="12.75">
      <c r="A53" s="133"/>
      <c r="B53" s="224"/>
      <c r="C53" s="129">
        <v>3040</v>
      </c>
      <c r="D53" s="59" t="s">
        <v>204</v>
      </c>
      <c r="E53" s="216">
        <v>500</v>
      </c>
      <c r="F53" s="216"/>
      <c r="G53" s="216"/>
      <c r="H53" s="216">
        <f>E53+F53-G53</f>
        <v>500</v>
      </c>
      <c r="I53" s="217"/>
    </row>
    <row r="54" spans="1:9" ht="12.75">
      <c r="A54" s="133"/>
      <c r="B54" s="224"/>
      <c r="C54" s="165">
        <v>4010</v>
      </c>
      <c r="D54" s="166" t="s">
        <v>190</v>
      </c>
      <c r="E54" s="216">
        <v>30000</v>
      </c>
      <c r="F54" s="216"/>
      <c r="G54" s="216"/>
      <c r="H54" s="216">
        <f>E54+F54-G54</f>
        <v>30000</v>
      </c>
      <c r="I54" s="217"/>
    </row>
    <row r="55" spans="1:9" ht="12.75">
      <c r="A55" s="133"/>
      <c r="B55" s="224"/>
      <c r="C55" s="165">
        <v>4040</v>
      </c>
      <c r="D55" s="166" t="s">
        <v>196</v>
      </c>
      <c r="E55" s="216">
        <v>1950</v>
      </c>
      <c r="F55" s="216"/>
      <c r="G55" s="216"/>
      <c r="H55" s="216">
        <f>E55+F55-G55</f>
        <v>1950</v>
      </c>
      <c r="I55" s="217"/>
    </row>
    <row r="56" spans="1:9" ht="12.75">
      <c r="A56" s="133"/>
      <c r="B56" s="224"/>
      <c r="C56" s="165">
        <v>4110</v>
      </c>
      <c r="D56" s="166" t="s">
        <v>192</v>
      </c>
      <c r="E56" s="216">
        <v>6000</v>
      </c>
      <c r="F56" s="216"/>
      <c r="G56" s="216"/>
      <c r="H56" s="216">
        <f>E56+F56-G56</f>
        <v>6000</v>
      </c>
      <c r="I56" s="217"/>
    </row>
    <row r="57" spans="1:9" ht="12.75">
      <c r="A57" s="133"/>
      <c r="B57" s="224"/>
      <c r="C57" s="165">
        <v>4120</v>
      </c>
      <c r="D57" s="166" t="s">
        <v>197</v>
      </c>
      <c r="E57" s="216">
        <f>800+50</f>
        <v>850</v>
      </c>
      <c r="F57" s="216"/>
      <c r="G57" s="216"/>
      <c r="H57" s="216">
        <f>E57+F57-G57</f>
        <v>850</v>
      </c>
      <c r="I57" s="217"/>
    </row>
    <row r="58" spans="1:9" ht="12.75">
      <c r="A58" s="133"/>
      <c r="B58" s="224"/>
      <c r="C58" s="165">
        <v>4410</v>
      </c>
      <c r="D58" s="166" t="s">
        <v>201</v>
      </c>
      <c r="E58" s="216">
        <v>100</v>
      </c>
      <c r="F58" s="216"/>
      <c r="G58" s="216"/>
      <c r="H58" s="216">
        <f>E58+F58-G58</f>
        <v>100</v>
      </c>
      <c r="I58" s="217"/>
    </row>
    <row r="59" spans="1:9" ht="12.75">
      <c r="A59" s="133"/>
      <c r="B59" s="194"/>
      <c r="C59" s="165">
        <v>4440</v>
      </c>
      <c r="D59" s="166" t="s">
        <v>198</v>
      </c>
      <c r="E59" s="216">
        <v>1983</v>
      </c>
      <c r="F59" s="216"/>
      <c r="G59" s="216"/>
      <c r="H59" s="216">
        <f>E59+F59-G59</f>
        <v>1983</v>
      </c>
      <c r="I59" s="217"/>
    </row>
    <row r="60" spans="1:9" ht="12.75">
      <c r="A60" s="133"/>
      <c r="B60" s="211">
        <v>80110</v>
      </c>
      <c r="C60" s="212" t="s">
        <v>224</v>
      </c>
      <c r="D60" s="212"/>
      <c r="E60" s="219">
        <f>SUM(E61:E78)</f>
        <v>676550</v>
      </c>
      <c r="F60" s="219">
        <f>SUM(F61:F78)</f>
        <v>0</v>
      </c>
      <c r="G60" s="219">
        <f>SUM(G61:G78)</f>
        <v>0</v>
      </c>
      <c r="H60" s="219">
        <f>SUM(H61:H78)</f>
        <v>676550</v>
      </c>
      <c r="I60" s="220"/>
    </row>
    <row r="61" spans="1:9" ht="12.75">
      <c r="A61" s="133"/>
      <c r="B61" s="215"/>
      <c r="C61" s="165">
        <v>3020</v>
      </c>
      <c r="D61" s="166" t="s">
        <v>203</v>
      </c>
      <c r="E61" s="216">
        <f>26500+8800+3700</f>
        <v>39000</v>
      </c>
      <c r="F61" s="216"/>
      <c r="G61" s="216"/>
      <c r="H61" s="216">
        <f>E61+F61-G61</f>
        <v>39000</v>
      </c>
      <c r="I61" s="217"/>
    </row>
    <row r="62" spans="1:9" ht="12.75">
      <c r="A62" s="133"/>
      <c r="B62" s="215"/>
      <c r="C62" s="129">
        <v>3040</v>
      </c>
      <c r="D62" s="59" t="s">
        <v>204</v>
      </c>
      <c r="E62" s="216">
        <v>4000</v>
      </c>
      <c r="F62" s="216"/>
      <c r="G62" s="216"/>
      <c r="H62" s="216">
        <f>E62+F62-G62</f>
        <v>4000</v>
      </c>
      <c r="I62" s="217"/>
    </row>
    <row r="63" spans="1:9" ht="12.75">
      <c r="A63" s="133"/>
      <c r="B63" s="215"/>
      <c r="C63" s="165">
        <v>4010</v>
      </c>
      <c r="D63" s="166" t="s">
        <v>190</v>
      </c>
      <c r="E63" s="216">
        <v>410700</v>
      </c>
      <c r="F63" s="216"/>
      <c r="G63" s="216"/>
      <c r="H63" s="216">
        <f>E63+F63-G63</f>
        <v>410700</v>
      </c>
      <c r="I63" s="217"/>
    </row>
    <row r="64" spans="1:9" ht="12.75">
      <c r="A64" s="133"/>
      <c r="B64" s="215"/>
      <c r="C64" s="165">
        <v>4040</v>
      </c>
      <c r="D64" s="166" t="s">
        <v>196</v>
      </c>
      <c r="E64" s="50">
        <v>32600</v>
      </c>
      <c r="F64" s="50"/>
      <c r="G64" s="50"/>
      <c r="H64" s="216">
        <f>E64+F64-G64</f>
        <v>32600</v>
      </c>
      <c r="I64" s="217"/>
    </row>
    <row r="65" spans="1:9" ht="12.75">
      <c r="A65" s="133"/>
      <c r="B65" s="215"/>
      <c r="C65" s="165">
        <v>4110</v>
      </c>
      <c r="D65" s="166" t="s">
        <v>192</v>
      </c>
      <c r="E65" s="216">
        <f>75000+5600</f>
        <v>80600</v>
      </c>
      <c r="F65" s="216"/>
      <c r="G65" s="216"/>
      <c r="H65" s="216">
        <f>E65+F65-G65</f>
        <v>80600</v>
      </c>
      <c r="I65" s="217"/>
    </row>
    <row r="66" spans="1:9" ht="12.75">
      <c r="A66" s="133"/>
      <c r="B66" s="215"/>
      <c r="C66" s="165">
        <v>4120</v>
      </c>
      <c r="D66" s="166" t="s">
        <v>197</v>
      </c>
      <c r="E66" s="216">
        <f>10700+800</f>
        <v>11500</v>
      </c>
      <c r="F66" s="216"/>
      <c r="G66" s="216"/>
      <c r="H66" s="216">
        <f>E66+F66-G66</f>
        <v>11500</v>
      </c>
      <c r="I66" s="217"/>
    </row>
    <row r="67" spans="1:9" ht="12.75">
      <c r="A67" s="133"/>
      <c r="B67" s="215"/>
      <c r="C67" s="165">
        <v>4210</v>
      </c>
      <c r="D67" s="166" t="s">
        <v>176</v>
      </c>
      <c r="E67" s="216">
        <v>30000</v>
      </c>
      <c r="F67" s="216"/>
      <c r="G67" s="216"/>
      <c r="H67" s="216">
        <f>E67+F67-G67</f>
        <v>30000</v>
      </c>
      <c r="I67" s="217"/>
    </row>
    <row r="68" spans="1:9" ht="12.75">
      <c r="A68" s="133"/>
      <c r="B68" s="215"/>
      <c r="C68" s="165">
        <v>4240</v>
      </c>
      <c r="D68" s="166" t="s">
        <v>221</v>
      </c>
      <c r="E68" s="216">
        <v>1000</v>
      </c>
      <c r="F68" s="216"/>
      <c r="G68" s="216"/>
      <c r="H68" s="216">
        <f>E68+F68-G68</f>
        <v>1000</v>
      </c>
      <c r="I68" s="217"/>
    </row>
    <row r="69" spans="1:9" ht="12.75">
      <c r="A69" s="133"/>
      <c r="B69" s="215"/>
      <c r="C69" s="165">
        <v>4260</v>
      </c>
      <c r="D69" s="166" t="s">
        <v>205</v>
      </c>
      <c r="E69" s="216">
        <v>6000</v>
      </c>
      <c r="F69" s="216"/>
      <c r="G69" s="216"/>
      <c r="H69" s="216">
        <f>E69+F69-G69</f>
        <v>6000</v>
      </c>
      <c r="I69" s="217"/>
    </row>
    <row r="70" spans="1:9" ht="12.75">
      <c r="A70" s="133"/>
      <c r="B70" s="215"/>
      <c r="C70" s="129">
        <v>4270</v>
      </c>
      <c r="D70" s="126" t="s">
        <v>222</v>
      </c>
      <c r="E70" s="216">
        <v>10000</v>
      </c>
      <c r="F70" s="216"/>
      <c r="G70" s="216"/>
      <c r="H70" s="216">
        <f>E70+F70-G70</f>
        <v>10000</v>
      </c>
      <c r="I70" s="217"/>
    </row>
    <row r="71" spans="1:9" ht="12.75">
      <c r="A71" s="133"/>
      <c r="B71" s="215"/>
      <c r="C71" s="165">
        <v>4300</v>
      </c>
      <c r="D71" s="166" t="s">
        <v>194</v>
      </c>
      <c r="E71" s="216">
        <v>15000</v>
      </c>
      <c r="F71" s="216"/>
      <c r="G71" s="216"/>
      <c r="H71" s="216">
        <f>E71+F71-G71</f>
        <v>15000</v>
      </c>
      <c r="I71" s="217"/>
    </row>
    <row r="72" spans="1:9" ht="12.75">
      <c r="A72" s="133"/>
      <c r="B72" s="215"/>
      <c r="C72" s="129">
        <v>4350</v>
      </c>
      <c r="D72" s="126" t="s">
        <v>206</v>
      </c>
      <c r="E72" s="216">
        <v>1000</v>
      </c>
      <c r="F72" s="216"/>
      <c r="G72" s="216"/>
      <c r="H72" s="216">
        <f>E72+F72-G72</f>
        <v>1000</v>
      </c>
      <c r="I72" s="217"/>
    </row>
    <row r="73" spans="1:9" ht="12.75">
      <c r="A73" s="133"/>
      <c r="B73" s="215"/>
      <c r="C73" s="129">
        <v>4370</v>
      </c>
      <c r="D73" s="126" t="s">
        <v>208</v>
      </c>
      <c r="E73" s="216">
        <v>2000</v>
      </c>
      <c r="F73" s="216"/>
      <c r="G73" s="216"/>
      <c r="H73" s="216">
        <f>E73+F73-G73</f>
        <v>2000</v>
      </c>
      <c r="I73" s="217"/>
    </row>
    <row r="74" spans="1:9" ht="12.75">
      <c r="A74" s="133"/>
      <c r="B74" s="215"/>
      <c r="C74" s="165">
        <v>4410</v>
      </c>
      <c r="D74" s="166" t="s">
        <v>201</v>
      </c>
      <c r="E74" s="216">
        <v>2000</v>
      </c>
      <c r="F74" s="216"/>
      <c r="G74" s="216"/>
      <c r="H74" s="216">
        <f>E74+F74-G74</f>
        <v>2000</v>
      </c>
      <c r="I74" s="217"/>
    </row>
    <row r="75" spans="1:9" ht="12.75">
      <c r="A75" s="133"/>
      <c r="B75" s="215"/>
      <c r="C75" s="165">
        <v>4430</v>
      </c>
      <c r="D75" s="166" t="s">
        <v>177</v>
      </c>
      <c r="E75" s="216">
        <v>500</v>
      </c>
      <c r="F75" s="216"/>
      <c r="G75" s="216"/>
      <c r="H75" s="216">
        <f>E75+F75-G75</f>
        <v>500</v>
      </c>
      <c r="I75" s="217"/>
    </row>
    <row r="76" spans="1:9" ht="12.75">
      <c r="A76" s="133"/>
      <c r="B76" s="215"/>
      <c r="C76" s="165">
        <v>4440</v>
      </c>
      <c r="D76" s="166" t="s">
        <v>198</v>
      </c>
      <c r="E76" s="216">
        <f>1820+24830</f>
        <v>26650</v>
      </c>
      <c r="F76" s="216"/>
      <c r="G76" s="216"/>
      <c r="H76" s="216">
        <f>E76+F76-G76</f>
        <v>26650</v>
      </c>
      <c r="I76" s="217"/>
    </row>
    <row r="77" spans="1:9" ht="24.75">
      <c r="A77" s="133"/>
      <c r="B77" s="215"/>
      <c r="C77" s="129">
        <v>4740</v>
      </c>
      <c r="D77" s="24" t="s">
        <v>210</v>
      </c>
      <c r="E77" s="216">
        <v>2000</v>
      </c>
      <c r="F77" s="216"/>
      <c r="G77" s="216"/>
      <c r="H77" s="216">
        <f>E77+F77-G77</f>
        <v>2000</v>
      </c>
      <c r="I77" s="217"/>
    </row>
    <row r="78" spans="1:9" ht="12.75">
      <c r="A78" s="133"/>
      <c r="B78" s="215"/>
      <c r="C78" s="129">
        <v>4750</v>
      </c>
      <c r="D78" s="24" t="s">
        <v>211</v>
      </c>
      <c r="E78" s="216">
        <v>2000</v>
      </c>
      <c r="F78" s="216"/>
      <c r="G78" s="216"/>
      <c r="H78" s="216">
        <f>E78+F78-G78</f>
        <v>2000</v>
      </c>
      <c r="I78" s="217"/>
    </row>
    <row r="79" spans="1:9" ht="12.75">
      <c r="A79" s="133"/>
      <c r="B79" s="211">
        <v>80113</v>
      </c>
      <c r="C79" s="212" t="s">
        <v>225</v>
      </c>
      <c r="D79" s="212"/>
      <c r="E79" s="30">
        <f>SUM(E80:E87)</f>
        <v>223570</v>
      </c>
      <c r="F79" s="30">
        <f>SUM(F80:F87)</f>
        <v>2000</v>
      </c>
      <c r="G79" s="30">
        <f>SUM(G80:G87)</f>
        <v>0</v>
      </c>
      <c r="H79" s="30">
        <f>SUM(H80:H87)</f>
        <v>225570</v>
      </c>
      <c r="I79" s="225"/>
    </row>
    <row r="80" spans="1:9" ht="12.75">
      <c r="A80" s="133"/>
      <c r="B80" s="221"/>
      <c r="C80" s="165">
        <v>4010</v>
      </c>
      <c r="D80" s="166" t="s">
        <v>190</v>
      </c>
      <c r="E80" s="216">
        <v>21500</v>
      </c>
      <c r="F80" s="216"/>
      <c r="G80" s="216"/>
      <c r="H80" s="216">
        <f>E80+F80-G80</f>
        <v>21500</v>
      </c>
      <c r="I80" s="217"/>
    </row>
    <row r="81" spans="1:9" ht="12.75">
      <c r="A81" s="133"/>
      <c r="B81" s="221"/>
      <c r="C81" s="165">
        <v>4040</v>
      </c>
      <c r="D81" s="166" t="s">
        <v>196</v>
      </c>
      <c r="E81" s="216">
        <v>2540</v>
      </c>
      <c r="F81" s="216"/>
      <c r="G81" s="216"/>
      <c r="H81" s="216">
        <f>E81+F81-G81</f>
        <v>2540</v>
      </c>
      <c r="I81" s="217"/>
    </row>
    <row r="82" spans="1:9" ht="12.75">
      <c r="A82" s="133"/>
      <c r="B82" s="221"/>
      <c r="C82" s="165">
        <v>4110</v>
      </c>
      <c r="D82" s="166" t="s">
        <v>192</v>
      </c>
      <c r="E82" s="216">
        <f>3850+270</f>
        <v>4120</v>
      </c>
      <c r="F82" s="216"/>
      <c r="G82" s="216"/>
      <c r="H82" s="216">
        <f>E82+F82-G82</f>
        <v>4120</v>
      </c>
      <c r="I82" s="217"/>
    </row>
    <row r="83" spans="1:9" ht="12.75">
      <c r="A83" s="133"/>
      <c r="B83" s="221"/>
      <c r="C83" s="165">
        <v>4120</v>
      </c>
      <c r="D83" s="166" t="s">
        <v>197</v>
      </c>
      <c r="E83" s="216">
        <f>550+40</f>
        <v>590</v>
      </c>
      <c r="F83" s="216"/>
      <c r="G83" s="216"/>
      <c r="H83" s="216">
        <f>E83+F83-G83</f>
        <v>590</v>
      </c>
      <c r="I83" s="217"/>
    </row>
    <row r="84" spans="1:9" ht="12.75">
      <c r="A84" s="133"/>
      <c r="B84" s="221"/>
      <c r="C84" s="165">
        <v>4210</v>
      </c>
      <c r="D84" s="166" t="s">
        <v>176</v>
      </c>
      <c r="E84" s="216">
        <v>10000</v>
      </c>
      <c r="F84" s="216">
        <v>2000</v>
      </c>
      <c r="G84" s="216"/>
      <c r="H84" s="216">
        <f>E84+F84-G84</f>
        <v>12000</v>
      </c>
      <c r="I84" s="217"/>
    </row>
    <row r="85" spans="1:9" ht="12.75">
      <c r="A85" s="133"/>
      <c r="B85" s="221"/>
      <c r="C85" s="165">
        <v>4300</v>
      </c>
      <c r="D85" s="166" t="s">
        <v>194</v>
      </c>
      <c r="E85" s="216">
        <v>180000</v>
      </c>
      <c r="F85" s="216"/>
      <c r="G85" s="216"/>
      <c r="H85" s="216">
        <f>E85+F85-G85</f>
        <v>180000</v>
      </c>
      <c r="I85" s="217"/>
    </row>
    <row r="86" spans="1:9" ht="12.75">
      <c r="A86" s="133"/>
      <c r="B86" s="221"/>
      <c r="C86" s="165">
        <v>4430</v>
      </c>
      <c r="D86" s="166" t="s">
        <v>177</v>
      </c>
      <c r="E86" s="216">
        <v>3000</v>
      </c>
      <c r="F86" s="216"/>
      <c r="G86" s="216"/>
      <c r="H86" s="216">
        <f>E86+F86-G86</f>
        <v>3000</v>
      </c>
      <c r="I86" s="217"/>
    </row>
    <row r="87" spans="1:9" ht="12.75">
      <c r="A87" s="133"/>
      <c r="B87" s="221"/>
      <c r="C87" s="165">
        <v>4440</v>
      </c>
      <c r="D87" s="166" t="s">
        <v>198</v>
      </c>
      <c r="E87" s="216">
        <v>1820</v>
      </c>
      <c r="F87" s="216"/>
      <c r="G87" s="216"/>
      <c r="H87" s="216">
        <f>E87+F87-G87</f>
        <v>1820</v>
      </c>
      <c r="I87" s="217"/>
    </row>
    <row r="88" spans="1:9" ht="12.75">
      <c r="A88" s="133"/>
      <c r="B88" s="81">
        <v>80146</v>
      </c>
      <c r="C88" s="131" t="s">
        <v>226</v>
      </c>
      <c r="D88" s="131"/>
      <c r="E88" s="219">
        <f>SUM(E89:E91)</f>
        <v>11500</v>
      </c>
      <c r="F88" s="219">
        <f>SUM(F89:F91)</f>
        <v>0</v>
      </c>
      <c r="G88" s="219">
        <f>SUM(G89:G91)</f>
        <v>0</v>
      </c>
      <c r="H88" s="219">
        <f>SUM(H89:H91)</f>
        <v>11500</v>
      </c>
      <c r="I88" s="220"/>
    </row>
    <row r="89" spans="1:9" ht="12.75">
      <c r="A89" s="133"/>
      <c r="B89" s="83"/>
      <c r="C89" s="165">
        <v>4210</v>
      </c>
      <c r="D89" s="166" t="s">
        <v>176</v>
      </c>
      <c r="E89" s="216">
        <v>1500</v>
      </c>
      <c r="F89" s="216"/>
      <c r="G89" s="216"/>
      <c r="H89" s="216">
        <f>E89+F89-G89</f>
        <v>1500</v>
      </c>
      <c r="I89" s="217"/>
    </row>
    <row r="90" spans="1:9" ht="12.75">
      <c r="A90" s="133"/>
      <c r="B90" s="83"/>
      <c r="C90" s="129">
        <v>4700</v>
      </c>
      <c r="D90" s="126" t="s">
        <v>209</v>
      </c>
      <c r="E90" s="216">
        <v>7000</v>
      </c>
      <c r="F90" s="216"/>
      <c r="G90" s="216"/>
      <c r="H90" s="216">
        <f>E90+F90-G90</f>
        <v>7000</v>
      </c>
      <c r="I90" s="217"/>
    </row>
    <row r="91" spans="1:9" ht="12.75">
      <c r="A91" s="133"/>
      <c r="B91" s="226"/>
      <c r="C91" s="165">
        <v>4410</v>
      </c>
      <c r="D91" s="166" t="s">
        <v>201</v>
      </c>
      <c r="E91" s="216">
        <v>3000</v>
      </c>
      <c r="F91" s="216"/>
      <c r="G91" s="216"/>
      <c r="H91" s="216">
        <f>E91+F91-G91</f>
        <v>3000</v>
      </c>
      <c r="I91" s="217"/>
    </row>
    <row r="92" spans="1:9" ht="12.75">
      <c r="A92" s="133"/>
      <c r="B92" s="169">
        <v>80195</v>
      </c>
      <c r="C92" s="131" t="s">
        <v>16</v>
      </c>
      <c r="D92" s="131"/>
      <c r="E92" s="30">
        <f>SUM(E93:E95)</f>
        <v>38013</v>
      </c>
      <c r="F92" s="30">
        <f>SUM(F93:F95)</f>
        <v>0</v>
      </c>
      <c r="G92" s="30">
        <f>SUM(G93:G95)</f>
        <v>2000</v>
      </c>
      <c r="H92" s="30">
        <f>SUM(H93:H95)</f>
        <v>36013</v>
      </c>
      <c r="I92" s="225"/>
    </row>
    <row r="93" spans="1:9" ht="12.75">
      <c r="A93" s="133"/>
      <c r="B93" s="170"/>
      <c r="C93" s="6">
        <v>3030</v>
      </c>
      <c r="D93" s="126" t="s">
        <v>200</v>
      </c>
      <c r="E93" s="33"/>
      <c r="F93" s="33"/>
      <c r="G93" s="33"/>
      <c r="H93" s="216">
        <f>E93+F93-G93</f>
        <v>0</v>
      </c>
      <c r="I93" s="217"/>
    </row>
    <row r="94" spans="1:9" ht="12.75">
      <c r="A94" s="133"/>
      <c r="B94" s="83"/>
      <c r="C94" s="165">
        <v>4300</v>
      </c>
      <c r="D94" s="166" t="s">
        <v>194</v>
      </c>
      <c r="E94" s="50">
        <v>36013</v>
      </c>
      <c r="F94" s="50"/>
      <c r="G94" s="50">
        <v>2000</v>
      </c>
      <c r="H94" s="216">
        <f>E94+F94-G94</f>
        <v>34013</v>
      </c>
      <c r="I94" s="217"/>
    </row>
    <row r="95" spans="1:9" ht="12.75">
      <c r="A95" s="146"/>
      <c r="B95" s="171"/>
      <c r="C95" s="165">
        <v>4440</v>
      </c>
      <c r="D95" s="166" t="s">
        <v>198</v>
      </c>
      <c r="E95" s="50">
        <v>2000</v>
      </c>
      <c r="F95" s="50"/>
      <c r="G95" s="50"/>
      <c r="H95" s="216">
        <f>E95+F95-G95</f>
        <v>2000</v>
      </c>
      <c r="I95" s="217"/>
    </row>
  </sheetData>
  <mergeCells count="9">
    <mergeCell ref="B3:D3"/>
    <mergeCell ref="C4:D4"/>
    <mergeCell ref="C23:D23"/>
    <mergeCell ref="C42:D42"/>
    <mergeCell ref="C51:D51"/>
    <mergeCell ref="C60:D60"/>
    <mergeCell ref="C79:D79"/>
    <mergeCell ref="C88:D88"/>
    <mergeCell ref="C92:D92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69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="85" zoomScaleNormal="85" zoomScaleSheetLayoutView="55" workbookViewId="0" topLeftCell="A1">
      <selection activeCell="I29" sqref="I29"/>
    </sheetView>
  </sheetViews>
  <sheetFormatPr defaultColWidth="9.00390625" defaultRowHeight="12.75"/>
  <cols>
    <col min="1" max="2" width="6.00390625" style="227" customWidth="1"/>
    <col min="3" max="3" width="9.00390625" style="227" customWidth="1"/>
    <col min="4" max="4" width="5.50390625" style="227" customWidth="1"/>
    <col min="5" max="5" width="38.875" style="227" customWidth="1"/>
    <col min="6" max="6" width="16.125" style="227" customWidth="1"/>
    <col min="7" max="7" width="14.00390625" style="227" customWidth="1"/>
    <col min="8" max="8" width="12.25390625" style="227" customWidth="1"/>
    <col min="9" max="9" width="9.75390625" style="227" customWidth="1"/>
    <col min="10" max="10" width="11.625" style="227" customWidth="1"/>
    <col min="11" max="11" width="13.00390625" style="227" customWidth="1"/>
    <col min="12" max="13" width="13.75390625" style="227" customWidth="1"/>
    <col min="14" max="14" width="17.50390625" style="227" customWidth="1"/>
    <col min="15" max="15" width="18.375" style="227" customWidth="1"/>
    <col min="16" max="16" width="12.00390625" style="227" customWidth="1"/>
    <col min="17" max="16384" width="9.00390625" style="227" customWidth="1"/>
  </cols>
  <sheetData>
    <row r="1" spans="2:16" ht="12.75">
      <c r="B1" s="228"/>
      <c r="C1" s="228"/>
      <c r="D1" s="228"/>
      <c r="E1" s="228"/>
      <c r="F1" s="228"/>
      <c r="G1" s="228"/>
      <c r="H1" s="228"/>
      <c r="I1" s="228"/>
      <c r="J1" s="229" t="s">
        <v>252</v>
      </c>
      <c r="K1" s="229"/>
      <c r="L1" s="229"/>
      <c r="M1" s="229"/>
      <c r="N1" s="230"/>
      <c r="O1" s="231"/>
      <c r="P1" s="231"/>
    </row>
    <row r="2" spans="2:16" ht="12.75">
      <c r="B2" s="228"/>
      <c r="C2" s="228"/>
      <c r="D2" s="228"/>
      <c r="E2" s="228"/>
      <c r="F2" s="228"/>
      <c r="G2" s="228"/>
      <c r="H2" s="228"/>
      <c r="I2" s="228"/>
      <c r="J2" s="229" t="s">
        <v>1</v>
      </c>
      <c r="K2" s="229"/>
      <c r="L2" s="229"/>
      <c r="M2" s="229"/>
      <c r="N2" s="230"/>
      <c r="O2" s="231"/>
      <c r="P2" s="231"/>
    </row>
    <row r="3" spans="2:16" ht="12.75">
      <c r="B3" s="228"/>
      <c r="C3" s="228"/>
      <c r="D3" s="228"/>
      <c r="E3" s="228"/>
      <c r="F3" s="228"/>
      <c r="G3" s="228"/>
      <c r="H3" s="228"/>
      <c r="I3" s="228"/>
      <c r="J3" s="3" t="s">
        <v>2</v>
      </c>
      <c r="K3" s="229"/>
      <c r="L3" s="229"/>
      <c r="M3" s="229"/>
      <c r="N3" s="230"/>
      <c r="O3" s="231"/>
      <c r="P3" s="231"/>
    </row>
    <row r="4" spans="2:14" ht="12.75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</row>
    <row r="5" spans="2:16" ht="21" customHeight="1">
      <c r="B5" s="232" t="s">
        <v>253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4"/>
      <c r="P5" s="234"/>
    </row>
    <row r="6" spans="2:14" ht="12.75"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 t="s">
        <v>254</v>
      </c>
    </row>
    <row r="7" spans="1:14" ht="12.75">
      <c r="A7" s="235"/>
      <c r="B7" s="236"/>
      <c r="C7" s="236"/>
      <c r="D7" s="236"/>
      <c r="E7" s="235"/>
      <c r="F7" s="236"/>
      <c r="G7" s="237" t="s">
        <v>255</v>
      </c>
      <c r="H7" s="237"/>
      <c r="I7" s="237"/>
      <c r="J7" s="237"/>
      <c r="K7" s="237"/>
      <c r="L7" s="237"/>
      <c r="M7" s="237"/>
      <c r="N7" s="238" t="s">
        <v>256</v>
      </c>
    </row>
    <row r="8" spans="1:14" ht="12.75">
      <c r="A8" s="239"/>
      <c r="B8" s="240"/>
      <c r="C8" s="240"/>
      <c r="D8" s="240"/>
      <c r="E8" s="241" t="s">
        <v>257</v>
      </c>
      <c r="F8" s="240" t="s">
        <v>258</v>
      </c>
      <c r="G8" s="242" t="s">
        <v>259</v>
      </c>
      <c r="H8" s="243" t="s">
        <v>260</v>
      </c>
      <c r="I8" s="243"/>
      <c r="J8" s="243"/>
      <c r="K8" s="243"/>
      <c r="L8" s="244">
        <v>2008</v>
      </c>
      <c r="M8" s="243">
        <v>2009</v>
      </c>
      <c r="N8" s="245" t="s">
        <v>261</v>
      </c>
    </row>
    <row r="9" spans="1:14" ht="24.75">
      <c r="A9" s="241" t="s">
        <v>262</v>
      </c>
      <c r="B9" s="241" t="s">
        <v>10</v>
      </c>
      <c r="C9" s="241" t="s">
        <v>11</v>
      </c>
      <c r="D9" s="241" t="s">
        <v>12</v>
      </c>
      <c r="E9" s="241" t="s">
        <v>263</v>
      </c>
      <c r="F9" s="241" t="s">
        <v>264</v>
      </c>
      <c r="G9" s="245" t="s">
        <v>265</v>
      </c>
      <c r="H9" s="246" t="s">
        <v>266</v>
      </c>
      <c r="I9" s="242" t="s">
        <v>267</v>
      </c>
      <c r="J9" s="247" t="s">
        <v>268</v>
      </c>
      <c r="K9" s="246" t="s">
        <v>269</v>
      </c>
      <c r="L9" s="244"/>
      <c r="M9" s="243"/>
      <c r="N9" s="245" t="s">
        <v>270</v>
      </c>
    </row>
    <row r="10" spans="1:14" ht="24.75">
      <c r="A10" s="248"/>
      <c r="B10" s="249"/>
      <c r="C10" s="249"/>
      <c r="D10" s="249"/>
      <c r="E10" s="250" t="s">
        <v>271</v>
      </c>
      <c r="F10" s="250" t="s">
        <v>272</v>
      </c>
      <c r="G10" s="250" t="s">
        <v>273</v>
      </c>
      <c r="H10" s="251" t="s">
        <v>274</v>
      </c>
      <c r="I10" s="250" t="s">
        <v>275</v>
      </c>
      <c r="J10" s="252" t="s">
        <v>276</v>
      </c>
      <c r="K10" s="251" t="s">
        <v>277</v>
      </c>
      <c r="L10" s="244"/>
      <c r="M10" s="243"/>
      <c r="N10" s="251" t="s">
        <v>278</v>
      </c>
    </row>
    <row r="11" spans="1:14" ht="12.75">
      <c r="A11" s="253">
        <v>1</v>
      </c>
      <c r="B11" s="253">
        <v>2</v>
      </c>
      <c r="C11" s="253">
        <v>3</v>
      </c>
      <c r="D11" s="253">
        <v>4</v>
      </c>
      <c r="E11" s="253">
        <v>5</v>
      </c>
      <c r="F11" s="253">
        <v>6</v>
      </c>
      <c r="G11" s="253">
        <v>7</v>
      </c>
      <c r="H11" s="253">
        <v>8</v>
      </c>
      <c r="I11" s="253">
        <v>9</v>
      </c>
      <c r="J11" s="253">
        <v>10</v>
      </c>
      <c r="K11" s="253">
        <v>11</v>
      </c>
      <c r="L11" s="253">
        <v>12</v>
      </c>
      <c r="M11" s="253">
        <v>13</v>
      </c>
      <c r="N11" s="254">
        <v>14</v>
      </c>
    </row>
    <row r="12" spans="1:14" ht="24.75">
      <c r="A12" s="243">
        <v>1</v>
      </c>
      <c r="B12" s="255" t="s">
        <v>13</v>
      </c>
      <c r="C12" s="255" t="s">
        <v>169</v>
      </c>
      <c r="D12" s="255" t="s">
        <v>279</v>
      </c>
      <c r="E12" s="256" t="s">
        <v>280</v>
      </c>
      <c r="F12" s="257">
        <f>SUM(G12,L12,M12)</f>
        <v>1200000</v>
      </c>
      <c r="G12" s="258">
        <f>SUM(H12:J12)</f>
        <v>200000</v>
      </c>
      <c r="H12" s="135">
        <v>200000</v>
      </c>
      <c r="I12" s="258"/>
      <c r="J12" s="258"/>
      <c r="K12" s="259"/>
      <c r="L12" s="258">
        <v>500000</v>
      </c>
      <c r="M12" s="258">
        <v>500000</v>
      </c>
      <c r="N12" s="260" t="s">
        <v>281</v>
      </c>
    </row>
    <row r="13" spans="1:14" ht="24.75">
      <c r="A13" s="243">
        <v>2</v>
      </c>
      <c r="B13" s="255" t="s">
        <v>13</v>
      </c>
      <c r="C13" s="255" t="s">
        <v>169</v>
      </c>
      <c r="D13" s="255" t="s">
        <v>279</v>
      </c>
      <c r="E13" s="256" t="s">
        <v>282</v>
      </c>
      <c r="F13" s="257">
        <f>SUM(G13,L13,M13)</f>
        <v>2010000</v>
      </c>
      <c r="G13" s="258">
        <f>SUM(H13:J13)</f>
        <v>10000</v>
      </c>
      <c r="H13" s="258">
        <v>10000</v>
      </c>
      <c r="I13" s="258"/>
      <c r="J13" s="258"/>
      <c r="K13" s="259"/>
      <c r="L13" s="258">
        <v>1000000</v>
      </c>
      <c r="M13" s="258">
        <v>1000000</v>
      </c>
      <c r="N13" s="261" t="s">
        <v>281</v>
      </c>
    </row>
    <row r="14" spans="1:14" ht="24.75">
      <c r="A14" s="243">
        <v>3</v>
      </c>
      <c r="B14" s="255" t="s">
        <v>13</v>
      </c>
      <c r="C14" s="255" t="s">
        <v>169</v>
      </c>
      <c r="D14" s="255" t="s">
        <v>279</v>
      </c>
      <c r="E14" s="262" t="s">
        <v>283</v>
      </c>
      <c r="F14" s="257">
        <f>SUM(G14,L14,M14)</f>
        <v>165000</v>
      </c>
      <c r="G14" s="257">
        <f>SUM(H14:K14)</f>
        <v>15000</v>
      </c>
      <c r="H14" s="258">
        <v>15000</v>
      </c>
      <c r="I14" s="258"/>
      <c r="J14" s="258"/>
      <c r="K14" s="258"/>
      <c r="L14" s="257">
        <v>150000</v>
      </c>
      <c r="M14" s="257"/>
      <c r="N14" s="260" t="s">
        <v>281</v>
      </c>
    </row>
    <row r="15" spans="1:14" ht="36.75">
      <c r="A15" s="243">
        <v>4</v>
      </c>
      <c r="B15" s="255" t="s">
        <v>284</v>
      </c>
      <c r="C15" s="255" t="s">
        <v>184</v>
      </c>
      <c r="D15" s="255" t="s">
        <v>279</v>
      </c>
      <c r="E15" s="256" t="s">
        <v>285</v>
      </c>
      <c r="F15" s="257">
        <f>SUM(G15,L15,M15)</f>
        <v>3723001</v>
      </c>
      <c r="G15" s="257">
        <f>SUM(H15:K15)</f>
        <v>10000</v>
      </c>
      <c r="H15" s="258">
        <v>10000</v>
      </c>
      <c r="I15" s="259"/>
      <c r="J15" s="258"/>
      <c r="K15" s="258"/>
      <c r="L15" s="257">
        <v>1713001</v>
      </c>
      <c r="M15" s="257">
        <v>2000000</v>
      </c>
      <c r="N15" s="260" t="s">
        <v>281</v>
      </c>
    </row>
    <row r="16" spans="1:14" ht="24.75">
      <c r="A16" s="243">
        <v>6</v>
      </c>
      <c r="B16" s="255" t="s">
        <v>135</v>
      </c>
      <c r="C16" s="255" t="s">
        <v>286</v>
      </c>
      <c r="D16" s="255" t="s">
        <v>279</v>
      </c>
      <c r="E16" s="262" t="s">
        <v>287</v>
      </c>
      <c r="F16" s="257">
        <f>SUM(G16,L16,M16)</f>
        <v>270000</v>
      </c>
      <c r="G16" s="257">
        <f>SUM(H16:K16)</f>
        <v>20000</v>
      </c>
      <c r="H16" s="258">
        <v>20000</v>
      </c>
      <c r="I16" s="258"/>
      <c r="J16" s="258"/>
      <c r="K16" s="258"/>
      <c r="L16" s="257">
        <v>250000</v>
      </c>
      <c r="M16" s="257"/>
      <c r="N16" s="260" t="s">
        <v>281</v>
      </c>
    </row>
    <row r="17" spans="1:14" ht="24.75">
      <c r="A17" s="243">
        <v>7</v>
      </c>
      <c r="B17" s="255" t="s">
        <v>135</v>
      </c>
      <c r="C17" s="255" t="s">
        <v>286</v>
      </c>
      <c r="D17" s="255" t="s">
        <v>279</v>
      </c>
      <c r="E17" s="256" t="s">
        <v>288</v>
      </c>
      <c r="F17" s="257">
        <f>SUM(G17,L17,M17)</f>
        <v>310000</v>
      </c>
      <c r="G17" s="257">
        <f>SUM(H17:K17)</f>
        <v>10000</v>
      </c>
      <c r="H17" s="258">
        <v>10000</v>
      </c>
      <c r="I17" s="258"/>
      <c r="J17" s="258"/>
      <c r="K17" s="258"/>
      <c r="L17" s="258">
        <v>300000</v>
      </c>
      <c r="M17" s="258"/>
      <c r="N17" s="261" t="s">
        <v>281</v>
      </c>
    </row>
    <row r="18" spans="1:14" ht="26.25" customHeight="1">
      <c r="A18" s="243" t="s">
        <v>289</v>
      </c>
      <c r="B18" s="243"/>
      <c r="C18" s="243"/>
      <c r="D18" s="243"/>
      <c r="E18" s="243"/>
      <c r="F18" s="263">
        <f>SUM(F12:F17)</f>
        <v>7678001</v>
      </c>
      <c r="G18" s="263">
        <f>SUM(G12:G17)</f>
        <v>265000</v>
      </c>
      <c r="H18" s="263">
        <f>SUM(H12:H17)</f>
        <v>265000</v>
      </c>
      <c r="I18" s="263">
        <f>SUM(I12:I17)</f>
        <v>0</v>
      </c>
      <c r="J18" s="263">
        <f>SUM(J12:J17)</f>
        <v>0</v>
      </c>
      <c r="K18" s="263">
        <f>SUM(K12:K17)</f>
        <v>0</v>
      </c>
      <c r="L18" s="263">
        <f>SUM(L12:L17)</f>
        <v>3913001</v>
      </c>
      <c r="M18" s="263">
        <f>SUM(M12:M17)</f>
        <v>3500000</v>
      </c>
      <c r="N18" s="264"/>
    </row>
    <row r="19" ht="15" customHeight="1"/>
    <row r="20" spans="2:15" ht="15">
      <c r="B20" s="228"/>
      <c r="C20" s="228"/>
      <c r="D20" s="228"/>
      <c r="E20" s="228"/>
      <c r="F20" s="228"/>
      <c r="G20" s="265"/>
      <c r="H20" s="265"/>
      <c r="I20" s="265"/>
      <c r="J20" s="265"/>
      <c r="K20" s="265"/>
      <c r="L20" s="266"/>
      <c r="M20" s="266"/>
      <c r="N20" s="266"/>
      <c r="O20" s="228"/>
    </row>
    <row r="21" spans="3:15" ht="15">
      <c r="C21" s="267" t="s">
        <v>290</v>
      </c>
      <c r="D21" s="267"/>
      <c r="E21" s="268"/>
      <c r="H21" s="269"/>
      <c r="I21" s="269"/>
      <c r="J21" s="228"/>
      <c r="K21" s="270"/>
      <c r="L21" s="270"/>
      <c r="M21" s="270"/>
      <c r="O21" s="267"/>
    </row>
    <row r="22" spans="8:13" ht="12.75">
      <c r="H22" s="269"/>
      <c r="I22" s="269"/>
      <c r="J22" s="228"/>
      <c r="K22" s="270"/>
      <c r="L22" s="270"/>
      <c r="M22" s="270"/>
    </row>
    <row r="23" spans="8:13" ht="13.5">
      <c r="H23" s="269"/>
      <c r="I23" s="269"/>
      <c r="J23" s="271"/>
      <c r="K23" s="271"/>
      <c r="L23" s="271"/>
      <c r="M23" s="271"/>
    </row>
    <row r="24" ht="12.75">
      <c r="H24" s="269"/>
    </row>
    <row r="25" ht="12.75">
      <c r="H25" s="269"/>
    </row>
    <row r="26" ht="12.75">
      <c r="H26" s="269"/>
    </row>
  </sheetData>
  <mergeCells count="5">
    <mergeCell ref="G7:M7"/>
    <mergeCell ref="H8:K8"/>
    <mergeCell ref="L8:L10"/>
    <mergeCell ref="M8:M10"/>
    <mergeCell ref="A18:E18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70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="85" zoomScaleNormal="85" zoomScaleSheetLayoutView="55" workbookViewId="0" topLeftCell="A1">
      <selection activeCell="E23" sqref="E23"/>
    </sheetView>
  </sheetViews>
  <sheetFormatPr defaultColWidth="9.00390625" defaultRowHeight="12.75"/>
  <cols>
    <col min="1" max="2" width="6.00390625" style="2" customWidth="1"/>
    <col min="3" max="3" width="9.00390625" style="2" customWidth="1"/>
    <col min="4" max="4" width="5.50390625" style="2" customWidth="1"/>
    <col min="5" max="5" width="38.875" style="2" customWidth="1"/>
    <col min="6" max="6" width="16.125" style="2" customWidth="1"/>
    <col min="7" max="7" width="14.00390625" style="2" customWidth="1"/>
    <col min="8" max="8" width="12.25390625" style="2" customWidth="1"/>
    <col min="9" max="9" width="9.75390625" style="2" customWidth="1"/>
    <col min="10" max="10" width="11.625" style="2" customWidth="1"/>
    <col min="11" max="11" width="13.00390625" style="2" customWidth="1"/>
    <col min="12" max="12" width="17.125" style="2" customWidth="1"/>
    <col min="13" max="13" width="18.375" style="2" customWidth="1"/>
    <col min="14" max="14" width="12.00390625" style="2" customWidth="1"/>
    <col min="15" max="254" width="9.00390625" style="2" customWidth="1"/>
  </cols>
  <sheetData>
    <row r="1" spans="2:14" ht="12.75">
      <c r="B1" s="272"/>
      <c r="C1" s="272"/>
      <c r="D1" s="272"/>
      <c r="E1" s="272"/>
      <c r="F1" s="272"/>
      <c r="G1" s="272"/>
      <c r="H1" s="272"/>
      <c r="I1" s="272"/>
      <c r="J1" s="273" t="s">
        <v>291</v>
      </c>
      <c r="K1" s="273"/>
      <c r="L1" s="274"/>
      <c r="M1" s="275"/>
      <c r="N1" s="275"/>
    </row>
    <row r="2" spans="2:14" ht="12.75">
      <c r="B2" s="272"/>
      <c r="C2" s="272"/>
      <c r="D2" s="272"/>
      <c r="E2" s="272"/>
      <c r="F2" s="272"/>
      <c r="G2" s="272"/>
      <c r="H2" s="272"/>
      <c r="I2" s="272"/>
      <c r="J2" s="273" t="s">
        <v>1</v>
      </c>
      <c r="K2" s="273"/>
      <c r="L2" s="274"/>
      <c r="M2" s="275"/>
      <c r="N2" s="275"/>
    </row>
    <row r="3" spans="2:14" ht="12.75">
      <c r="B3" s="272"/>
      <c r="C3" s="272"/>
      <c r="D3" s="272"/>
      <c r="E3" s="272"/>
      <c r="F3" s="272"/>
      <c r="G3" s="272"/>
      <c r="H3" s="272"/>
      <c r="I3" s="272"/>
      <c r="J3" s="3" t="s">
        <v>2</v>
      </c>
      <c r="K3" s="273"/>
      <c r="L3" s="274"/>
      <c r="M3" s="275"/>
      <c r="N3" s="275"/>
    </row>
    <row r="4" spans="2:12" ht="12.75"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2:14" ht="21" customHeight="1">
      <c r="B5" s="276" t="s">
        <v>292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8"/>
      <c r="N5" s="278"/>
    </row>
    <row r="6" spans="2:12" ht="12.75"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 t="s">
        <v>254</v>
      </c>
    </row>
    <row r="7" spans="1:12" ht="12.75">
      <c r="A7" s="279"/>
      <c r="B7" s="280"/>
      <c r="C7" s="280"/>
      <c r="D7" s="280"/>
      <c r="E7" s="279"/>
      <c r="F7" s="280"/>
      <c r="G7" s="148" t="s">
        <v>255</v>
      </c>
      <c r="H7" s="148"/>
      <c r="I7" s="148"/>
      <c r="J7" s="148"/>
      <c r="K7" s="148"/>
      <c r="L7" s="281" t="s">
        <v>256</v>
      </c>
    </row>
    <row r="8" spans="1:12" ht="12.75">
      <c r="A8" s="282"/>
      <c r="B8" s="283"/>
      <c r="C8" s="283"/>
      <c r="D8" s="284"/>
      <c r="E8" s="178" t="s">
        <v>257</v>
      </c>
      <c r="F8" s="283" t="s">
        <v>258</v>
      </c>
      <c r="G8" s="285" t="s">
        <v>259</v>
      </c>
      <c r="H8" s="6" t="s">
        <v>260</v>
      </c>
      <c r="I8" s="6"/>
      <c r="J8" s="6"/>
      <c r="K8" s="6"/>
      <c r="L8" s="286" t="s">
        <v>261</v>
      </c>
    </row>
    <row r="9" spans="1:12" ht="24.75">
      <c r="A9" s="178" t="s">
        <v>262</v>
      </c>
      <c r="B9" s="178" t="s">
        <v>10</v>
      </c>
      <c r="C9" s="178" t="s">
        <v>11</v>
      </c>
      <c r="D9" s="287" t="s">
        <v>12</v>
      </c>
      <c r="E9" s="178" t="s">
        <v>263</v>
      </c>
      <c r="F9" s="178" t="s">
        <v>264</v>
      </c>
      <c r="G9" s="286" t="s">
        <v>265</v>
      </c>
      <c r="H9" s="94" t="s">
        <v>266</v>
      </c>
      <c r="I9" s="285" t="s">
        <v>267</v>
      </c>
      <c r="J9" s="288" t="s">
        <v>268</v>
      </c>
      <c r="K9" s="94" t="s">
        <v>269</v>
      </c>
      <c r="L9" s="286" t="s">
        <v>270</v>
      </c>
    </row>
    <row r="10" spans="1:12" ht="24.75">
      <c r="A10" s="289"/>
      <c r="B10" s="290"/>
      <c r="C10" s="290"/>
      <c r="D10" s="290"/>
      <c r="E10" s="179" t="s">
        <v>271</v>
      </c>
      <c r="F10" s="179" t="s">
        <v>272</v>
      </c>
      <c r="G10" s="179" t="s">
        <v>273</v>
      </c>
      <c r="H10" s="291" t="s">
        <v>274</v>
      </c>
      <c r="I10" s="179" t="s">
        <v>275</v>
      </c>
      <c r="J10" s="292" t="s">
        <v>276</v>
      </c>
      <c r="K10" s="291" t="s">
        <v>277</v>
      </c>
      <c r="L10" s="291" t="s">
        <v>278</v>
      </c>
    </row>
    <row r="11" spans="1:12" ht="12.75">
      <c r="A11" s="96">
        <v>1</v>
      </c>
      <c r="B11" s="96">
        <v>2</v>
      </c>
      <c r="C11" s="96">
        <v>3</v>
      </c>
      <c r="D11" s="96">
        <v>4</v>
      </c>
      <c r="E11" s="96">
        <v>5</v>
      </c>
      <c r="F11" s="96">
        <v>6</v>
      </c>
      <c r="G11" s="96">
        <v>7</v>
      </c>
      <c r="H11" s="96">
        <v>8</v>
      </c>
      <c r="I11" s="96">
        <v>9</v>
      </c>
      <c r="J11" s="96">
        <v>10</v>
      </c>
      <c r="K11" s="96">
        <v>11</v>
      </c>
      <c r="L11" s="96">
        <v>12</v>
      </c>
    </row>
    <row r="12" spans="1:12" ht="24.75">
      <c r="A12" s="6">
        <v>1</v>
      </c>
      <c r="B12" s="183" t="s">
        <v>13</v>
      </c>
      <c r="C12" s="183" t="s">
        <v>169</v>
      </c>
      <c r="D12" s="183" t="s">
        <v>279</v>
      </c>
      <c r="E12" s="293" t="s">
        <v>293</v>
      </c>
      <c r="F12" s="294">
        <f>SUM(G12,L12,M12)</f>
        <v>10000</v>
      </c>
      <c r="G12" s="20">
        <f>SUM(H12:J12)</f>
        <v>10000</v>
      </c>
      <c r="H12" s="20">
        <v>10000</v>
      </c>
      <c r="I12" s="20"/>
      <c r="J12" s="21"/>
      <c r="K12" s="21"/>
      <c r="L12" s="7" t="s">
        <v>281</v>
      </c>
    </row>
    <row r="13" spans="1:12" ht="24.75">
      <c r="A13" s="6">
        <v>2</v>
      </c>
      <c r="B13" s="183" t="s">
        <v>28</v>
      </c>
      <c r="C13" s="183" t="s">
        <v>30</v>
      </c>
      <c r="D13" s="183" t="s">
        <v>279</v>
      </c>
      <c r="E13" s="295" t="s">
        <v>294</v>
      </c>
      <c r="F13" s="294">
        <f>SUM(G13,L13,M13)</f>
        <v>5000</v>
      </c>
      <c r="G13" s="294">
        <f>SUM(H13:K13)</f>
        <v>5000</v>
      </c>
      <c r="H13" s="20">
        <v>5000</v>
      </c>
      <c r="I13" s="20"/>
      <c r="J13" s="20"/>
      <c r="K13" s="20"/>
      <c r="L13" s="7" t="s">
        <v>281</v>
      </c>
    </row>
    <row r="14" spans="1:12" ht="36.75">
      <c r="A14" s="6">
        <v>3</v>
      </c>
      <c r="B14" s="183" t="s">
        <v>43</v>
      </c>
      <c r="C14" s="183" t="s">
        <v>295</v>
      </c>
      <c r="D14" s="183" t="s">
        <v>279</v>
      </c>
      <c r="E14" s="293" t="s">
        <v>296</v>
      </c>
      <c r="F14" s="294">
        <f>SUM(G14,L14,M14)</f>
        <v>10000</v>
      </c>
      <c r="G14" s="294">
        <f>SUM(H14:K14)</f>
        <v>10000</v>
      </c>
      <c r="H14" s="20">
        <v>10000</v>
      </c>
      <c r="I14" s="20"/>
      <c r="J14" s="20"/>
      <c r="K14" s="20"/>
      <c r="L14" s="7" t="s">
        <v>281</v>
      </c>
    </row>
    <row r="15" spans="1:12" ht="24.75">
      <c r="A15" s="6">
        <v>4</v>
      </c>
      <c r="B15" s="183" t="s">
        <v>297</v>
      </c>
      <c r="C15" s="183" t="s">
        <v>298</v>
      </c>
      <c r="D15" s="183" t="s">
        <v>279</v>
      </c>
      <c r="E15" s="293" t="s">
        <v>299</v>
      </c>
      <c r="F15" s="294">
        <f>SUM(G15,L15,M15)</f>
        <v>42535</v>
      </c>
      <c r="G15" s="294">
        <f>SUM(H15:K15)</f>
        <v>42535</v>
      </c>
      <c r="H15" s="20">
        <v>27535</v>
      </c>
      <c r="I15" s="20"/>
      <c r="J15" s="20">
        <f>15000</f>
        <v>15000</v>
      </c>
      <c r="K15" s="20"/>
      <c r="L15" s="7" t="s">
        <v>281</v>
      </c>
    </row>
    <row r="16" spans="1:12" ht="24.75">
      <c r="A16" s="6">
        <v>5</v>
      </c>
      <c r="B16" s="296" t="s">
        <v>135</v>
      </c>
      <c r="C16" s="183" t="s">
        <v>286</v>
      </c>
      <c r="D16" s="183" t="s">
        <v>279</v>
      </c>
      <c r="E16" s="293" t="s">
        <v>300</v>
      </c>
      <c r="F16" s="294">
        <f>SUM(G16,L16,M16)</f>
        <v>80000</v>
      </c>
      <c r="G16" s="294">
        <f>SUM(H16:K16)</f>
        <v>80000</v>
      </c>
      <c r="H16" s="294">
        <v>80000</v>
      </c>
      <c r="I16" s="297"/>
      <c r="J16" s="298"/>
      <c r="K16" s="299"/>
      <c r="L16" s="7" t="s">
        <v>281</v>
      </c>
    </row>
    <row r="17" spans="1:12" ht="24.75">
      <c r="A17" s="6">
        <v>6</v>
      </c>
      <c r="B17" s="183" t="s">
        <v>135</v>
      </c>
      <c r="C17" s="183" t="s">
        <v>286</v>
      </c>
      <c r="D17" s="183" t="s">
        <v>279</v>
      </c>
      <c r="E17" s="293" t="s">
        <v>301</v>
      </c>
      <c r="F17" s="294">
        <f>SUM(G17,L17,M17)</f>
        <v>10000</v>
      </c>
      <c r="G17" s="294">
        <f>SUM(H17:K17)</f>
        <v>10000</v>
      </c>
      <c r="H17" s="20">
        <v>10000</v>
      </c>
      <c r="I17" s="20"/>
      <c r="J17" s="20"/>
      <c r="K17" s="20"/>
      <c r="L17" s="7" t="s">
        <v>281</v>
      </c>
    </row>
    <row r="18" spans="1:12" ht="24.75">
      <c r="A18" s="6">
        <v>7</v>
      </c>
      <c r="B18" s="183" t="s">
        <v>135</v>
      </c>
      <c r="C18" s="183" t="s">
        <v>286</v>
      </c>
      <c r="D18" s="183" t="s">
        <v>279</v>
      </c>
      <c r="E18" s="293" t="s">
        <v>302</v>
      </c>
      <c r="F18" s="294">
        <f>SUM(G18,L18,M18)</f>
        <v>10000</v>
      </c>
      <c r="G18" s="294">
        <f>SUM(H18:K18)</f>
        <v>10000</v>
      </c>
      <c r="H18" s="20">
        <v>10000</v>
      </c>
      <c r="I18" s="20"/>
      <c r="J18" s="20"/>
      <c r="K18" s="20"/>
      <c r="L18" s="7" t="s">
        <v>281</v>
      </c>
    </row>
    <row r="19" spans="1:12" ht="26.25" customHeight="1">
      <c r="A19" s="6" t="s">
        <v>289</v>
      </c>
      <c r="B19" s="6"/>
      <c r="C19" s="6"/>
      <c r="D19" s="6"/>
      <c r="E19" s="6"/>
      <c r="F19" s="300">
        <f>SUM(F12:F18)</f>
        <v>167535</v>
      </c>
      <c r="G19" s="300">
        <f>SUM(G12:G18)</f>
        <v>167535</v>
      </c>
      <c r="H19" s="300">
        <f>SUM(H12:H18)</f>
        <v>152535</v>
      </c>
      <c r="I19" s="300">
        <f>SUM(I12:I18)</f>
        <v>0</v>
      </c>
      <c r="J19" s="300">
        <f>SUM(J12:J18)</f>
        <v>15000</v>
      </c>
      <c r="K19" s="300">
        <f>SUM(K12:K18)</f>
        <v>0</v>
      </c>
      <c r="L19" s="301"/>
    </row>
    <row r="20" ht="15" customHeight="1"/>
    <row r="21" spans="2:13" ht="15">
      <c r="B21" s="272"/>
      <c r="C21" s="272"/>
      <c r="D21" s="272"/>
      <c r="E21" s="272"/>
      <c r="F21" s="272"/>
      <c r="G21" s="272"/>
      <c r="H21" s="272"/>
      <c r="I21" s="302"/>
      <c r="J21" s="303"/>
      <c r="K21" s="303"/>
      <c r="L21" s="303"/>
      <c r="M21" s="272"/>
    </row>
    <row r="22" spans="3:13" ht="15">
      <c r="C22" s="304" t="s">
        <v>290</v>
      </c>
      <c r="D22" s="304"/>
      <c r="E22" s="305"/>
      <c r="H22" s="105"/>
      <c r="I22" s="105"/>
      <c r="J22" s="272"/>
      <c r="K22" s="111"/>
      <c r="M22" s="304"/>
    </row>
    <row r="23" spans="8:11" ht="12.75">
      <c r="H23" s="105"/>
      <c r="I23" s="105"/>
      <c r="J23" s="272"/>
      <c r="K23" s="111"/>
    </row>
    <row r="24" spans="8:11" ht="13.5">
      <c r="H24" s="105"/>
      <c r="I24" s="105"/>
      <c r="J24" s="306"/>
      <c r="K24" s="306"/>
    </row>
    <row r="25" ht="12.75">
      <c r="H25" s="105"/>
    </row>
    <row r="26" ht="12.75">
      <c r="H26" s="105"/>
    </row>
    <row r="27" ht="12.75">
      <c r="H27" s="105"/>
    </row>
  </sheetData>
  <mergeCells count="3">
    <mergeCell ref="G7:K7"/>
    <mergeCell ref="H8:K8"/>
    <mergeCell ref="A19:E19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zoomScale="85" zoomScaleNormal="85" zoomScaleSheetLayoutView="55" workbookViewId="0" topLeftCell="A1">
      <selection activeCell="G28" sqref="G28"/>
    </sheetView>
  </sheetViews>
  <sheetFormatPr defaultColWidth="9.00390625" defaultRowHeight="12.75"/>
  <cols>
    <col min="1" max="1" width="5.375" style="2" customWidth="1"/>
    <col min="2" max="2" width="43.375" style="2" customWidth="1"/>
    <col min="3" max="3" width="12.00390625" style="2" customWidth="1"/>
    <col min="4" max="4" width="12.875" style="2" customWidth="1"/>
    <col min="5" max="254" width="9.00390625" style="2" customWidth="1"/>
  </cols>
  <sheetData>
    <row r="1" ht="12.75">
      <c r="C1" s="273" t="s">
        <v>303</v>
      </c>
    </row>
    <row r="2" ht="12.75">
      <c r="C2" s="273" t="s">
        <v>1</v>
      </c>
    </row>
    <row r="3" ht="12.75">
      <c r="C3" s="3" t="s">
        <v>2</v>
      </c>
    </row>
    <row r="4" ht="8.25" customHeight="1"/>
    <row r="5" spans="1:4" ht="17.25">
      <c r="A5" s="307" t="s">
        <v>304</v>
      </c>
      <c r="B5" s="112"/>
      <c r="C5" s="112"/>
      <c r="D5" s="112"/>
    </row>
    <row r="6" spans="1:4" ht="17.25">
      <c r="A6" s="112" t="s">
        <v>305</v>
      </c>
      <c r="B6" s="112"/>
      <c r="C6" s="112"/>
      <c r="D6" s="112"/>
    </row>
    <row r="8" spans="1:4" ht="24.75">
      <c r="A8" s="308" t="s">
        <v>306</v>
      </c>
      <c r="B8" s="308" t="s">
        <v>307</v>
      </c>
      <c r="C8" s="309" t="s">
        <v>308</v>
      </c>
      <c r="D8" s="309" t="s">
        <v>6</v>
      </c>
    </row>
    <row r="9" spans="1:4" ht="15" customHeight="1">
      <c r="A9" s="96">
        <v>1</v>
      </c>
      <c r="B9" s="96">
        <v>2</v>
      </c>
      <c r="C9" s="96">
        <v>3</v>
      </c>
      <c r="D9" s="96">
        <v>5</v>
      </c>
    </row>
    <row r="10" spans="1:4" ht="12.75">
      <c r="A10" s="148" t="s">
        <v>309</v>
      </c>
      <c r="B10" s="59" t="s">
        <v>310</v>
      </c>
      <c r="C10" s="310"/>
      <c r="D10" s="106">
        <f>1!H104</f>
        <v>7277224.54</v>
      </c>
    </row>
    <row r="11" spans="1:4" ht="12.75">
      <c r="A11" s="148" t="s">
        <v>311</v>
      </c>
      <c r="B11" s="59" t="s">
        <v>312</v>
      </c>
      <c r="C11" s="310"/>
      <c r="D11" s="106">
        <f>2!H263</f>
        <v>6966160.54</v>
      </c>
    </row>
    <row r="12" spans="1:4" ht="12.75">
      <c r="A12" s="148"/>
      <c r="B12" s="59" t="s">
        <v>313</v>
      </c>
      <c r="C12" s="310"/>
      <c r="D12" s="311">
        <f>D10-D11</f>
        <v>311064</v>
      </c>
    </row>
    <row r="13" spans="1:4" ht="12.75">
      <c r="A13" s="148"/>
      <c r="B13" s="59" t="s">
        <v>314</v>
      </c>
      <c r="C13" s="310"/>
      <c r="D13" s="311"/>
    </row>
    <row r="14" spans="1:6" ht="12.75">
      <c r="A14" s="312" t="s">
        <v>315</v>
      </c>
      <c r="B14" s="313" t="s">
        <v>316</v>
      </c>
      <c r="C14" s="314"/>
      <c r="D14" s="315">
        <f>D15-D25</f>
        <v>-311064</v>
      </c>
      <c r="E14" s="105"/>
      <c r="F14" s="316"/>
    </row>
    <row r="15" spans="1:4" ht="12.75">
      <c r="A15" s="312" t="s">
        <v>317</v>
      </c>
      <c r="B15" s="312"/>
      <c r="C15" s="314"/>
      <c r="D15" s="315">
        <f>SUM(D16:D24)</f>
        <v>295354</v>
      </c>
    </row>
    <row r="16" spans="1:4" ht="12.75">
      <c r="A16" s="148" t="s">
        <v>309</v>
      </c>
      <c r="B16" s="59" t="s">
        <v>318</v>
      </c>
      <c r="C16" s="317" t="s">
        <v>319</v>
      </c>
      <c r="D16" s="106"/>
    </row>
    <row r="17" spans="1:4" ht="12.75">
      <c r="A17" s="148" t="s">
        <v>311</v>
      </c>
      <c r="B17" s="59" t="s">
        <v>320</v>
      </c>
      <c r="C17" s="317" t="s">
        <v>319</v>
      </c>
      <c r="D17" s="106"/>
    </row>
    <row r="18" spans="1:9" ht="24.75">
      <c r="A18" s="183" t="s">
        <v>321</v>
      </c>
      <c r="B18" s="59" t="s">
        <v>322</v>
      </c>
      <c r="C18" s="7" t="s">
        <v>323</v>
      </c>
      <c r="D18" s="50"/>
      <c r="F18"/>
      <c r="H18" s="105"/>
      <c r="I18" s="105"/>
    </row>
    <row r="19" spans="1:8" ht="12.75">
      <c r="A19" s="318" t="s">
        <v>324</v>
      </c>
      <c r="B19" s="59" t="s">
        <v>325</v>
      </c>
      <c r="C19" s="317" t="s">
        <v>326</v>
      </c>
      <c r="D19" s="106"/>
      <c r="F19" s="105"/>
      <c r="H19" s="105"/>
    </row>
    <row r="20" spans="1:4" ht="12.75">
      <c r="A20" s="318" t="s">
        <v>327</v>
      </c>
      <c r="B20" s="59" t="s">
        <v>328</v>
      </c>
      <c r="C20" s="317" t="s">
        <v>329</v>
      </c>
      <c r="D20" s="106"/>
    </row>
    <row r="21" spans="1:4" ht="12.75">
      <c r="A21" s="318" t="s">
        <v>330</v>
      </c>
      <c r="B21" s="59" t="s">
        <v>331</v>
      </c>
      <c r="C21" s="317" t="s">
        <v>332</v>
      </c>
      <c r="D21" s="106"/>
    </row>
    <row r="22" spans="1:4" ht="12.75">
      <c r="A22" s="318" t="s">
        <v>333</v>
      </c>
      <c r="B22" s="59" t="s">
        <v>334</v>
      </c>
      <c r="C22" s="317" t="s">
        <v>335</v>
      </c>
      <c r="D22" s="106"/>
    </row>
    <row r="23" spans="1:4" ht="12.75">
      <c r="A23" s="318" t="s">
        <v>336</v>
      </c>
      <c r="B23" s="59" t="s">
        <v>337</v>
      </c>
      <c r="C23" s="317" t="s">
        <v>338</v>
      </c>
      <c r="D23" s="106"/>
    </row>
    <row r="24" spans="1:4" ht="12.75">
      <c r="A24" s="318" t="s">
        <v>339</v>
      </c>
      <c r="B24" s="59" t="s">
        <v>340</v>
      </c>
      <c r="C24" s="317" t="s">
        <v>341</v>
      </c>
      <c r="D24" s="106">
        <v>295354</v>
      </c>
    </row>
    <row r="25" spans="1:4" ht="12.75">
      <c r="A25" s="148" t="s">
        <v>342</v>
      </c>
      <c r="B25" s="148"/>
      <c r="C25" s="317"/>
      <c r="D25" s="106">
        <f>SUM(D26:D33)</f>
        <v>606418</v>
      </c>
    </row>
    <row r="26" spans="1:4" ht="12.75">
      <c r="A26" s="148" t="s">
        <v>309</v>
      </c>
      <c r="B26" s="59" t="s">
        <v>343</v>
      </c>
      <c r="C26" s="317" t="s">
        <v>344</v>
      </c>
      <c r="D26" s="106">
        <v>120000</v>
      </c>
    </row>
    <row r="27" spans="1:4" ht="12.75">
      <c r="A27" s="148" t="s">
        <v>311</v>
      </c>
      <c r="B27" s="59" t="s">
        <v>345</v>
      </c>
      <c r="C27" s="317" t="s">
        <v>344</v>
      </c>
      <c r="D27" s="50"/>
    </row>
    <row r="28" spans="1:4" ht="36.75">
      <c r="A28" s="6" t="s">
        <v>321</v>
      </c>
      <c r="B28" s="59" t="s">
        <v>346</v>
      </c>
      <c r="C28" s="7" t="s">
        <v>344</v>
      </c>
      <c r="D28" s="50">
        <f>446970+39448</f>
        <v>486418</v>
      </c>
    </row>
    <row r="29" spans="1:4" ht="12.75">
      <c r="A29" s="148" t="s">
        <v>324</v>
      </c>
      <c r="B29" s="59" t="s">
        <v>347</v>
      </c>
      <c r="C29" s="7" t="s">
        <v>348</v>
      </c>
      <c r="D29" s="50"/>
    </row>
    <row r="30" spans="1:4" ht="12.75">
      <c r="A30" s="148" t="s">
        <v>327</v>
      </c>
      <c r="B30" s="59" t="s">
        <v>349</v>
      </c>
      <c r="C30" s="317" t="s">
        <v>350</v>
      </c>
      <c r="D30" s="106"/>
    </row>
    <row r="31" spans="1:4" ht="12.75">
      <c r="A31" s="148" t="s">
        <v>330</v>
      </c>
      <c r="B31" s="59" t="s">
        <v>351</v>
      </c>
      <c r="C31" s="317" t="s">
        <v>352</v>
      </c>
      <c r="D31" s="106"/>
    </row>
    <row r="32" spans="1:4" ht="12.75">
      <c r="A32" s="148" t="s">
        <v>333</v>
      </c>
      <c r="B32" s="59" t="s">
        <v>353</v>
      </c>
      <c r="C32" s="317" t="s">
        <v>354</v>
      </c>
      <c r="D32" s="106"/>
    </row>
    <row r="33" spans="1:4" ht="12.75">
      <c r="A33" s="148" t="s">
        <v>336</v>
      </c>
      <c r="B33" s="59" t="s">
        <v>355</v>
      </c>
      <c r="C33" s="317" t="s">
        <v>356</v>
      </c>
      <c r="D33" s="106"/>
    </row>
    <row r="35" spans="3:5" ht="15">
      <c r="C35" s="303"/>
      <c r="D35" s="303"/>
      <c r="E35" s="303"/>
    </row>
    <row r="36" spans="2:5" ht="15">
      <c r="B36" s="319"/>
      <c r="C36" s="272"/>
      <c r="D36" s="105"/>
      <c r="E36" s="111"/>
    </row>
    <row r="37" spans="3:5" ht="12.75">
      <c r="C37" s="272"/>
      <c r="D37" s="111"/>
      <c r="E37" s="111"/>
    </row>
    <row r="38" spans="3:5" ht="13.5">
      <c r="C38" s="306"/>
      <c r="D38" s="306"/>
      <c r="E38" s="306"/>
    </row>
    <row r="42" ht="12.75">
      <c r="D42"/>
    </row>
  </sheetData>
  <mergeCells count="3">
    <mergeCell ref="A6:D6"/>
    <mergeCell ref="A15:B15"/>
    <mergeCell ref="A25:B25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0"/>
  <sheetViews>
    <sheetView zoomScale="85" zoomScaleNormal="85" zoomScaleSheetLayoutView="55" workbookViewId="0" topLeftCell="A1">
      <selection activeCell="H69" sqref="H69"/>
    </sheetView>
  </sheetViews>
  <sheetFormatPr defaultColWidth="9.00390625" defaultRowHeight="12.75"/>
  <cols>
    <col min="1" max="1" width="7.75390625" style="320" customWidth="1"/>
    <col min="2" max="2" width="8.125" style="320" customWidth="1"/>
    <col min="3" max="3" width="5.75390625" style="320" customWidth="1"/>
    <col min="4" max="4" width="13.625" style="320" customWidth="1"/>
    <col min="5" max="7" width="17.375" style="320" customWidth="1"/>
    <col min="8" max="8" width="13.75390625" style="320" customWidth="1"/>
    <col min="9" max="9" width="12.625" style="320" customWidth="1"/>
    <col min="10" max="10" width="17.50390625" style="320" customWidth="1"/>
    <col min="11" max="11" width="10.375" style="320" customWidth="1"/>
    <col min="12" max="16384" width="9.00390625" style="320" customWidth="1"/>
  </cols>
  <sheetData>
    <row r="1" spans="1:11" ht="12.75">
      <c r="A1" s="227"/>
      <c r="B1" s="227"/>
      <c r="C1" s="227"/>
      <c r="D1" s="227"/>
      <c r="E1" s="227"/>
      <c r="F1" s="229"/>
      <c r="G1" s="229"/>
      <c r="H1" s="229"/>
      <c r="I1" s="229"/>
      <c r="J1" s="229" t="s">
        <v>357</v>
      </c>
      <c r="K1" s="229"/>
    </row>
    <row r="2" spans="1:11" ht="12.75">
      <c r="A2" s="227"/>
      <c r="B2" s="227"/>
      <c r="C2" s="227"/>
      <c r="D2" s="227"/>
      <c r="E2" s="227"/>
      <c r="F2" s="229"/>
      <c r="G2" s="229"/>
      <c r="H2" s="229"/>
      <c r="I2" s="229"/>
      <c r="J2" s="229" t="s">
        <v>1</v>
      </c>
      <c r="K2" s="229"/>
    </row>
    <row r="3" spans="1:11" ht="12.75">
      <c r="A3" s="227"/>
      <c r="B3" s="227"/>
      <c r="C3" s="227"/>
      <c r="D3" s="227"/>
      <c r="E3" s="227"/>
      <c r="F3" s="229"/>
      <c r="G3" s="229"/>
      <c r="H3" s="229"/>
      <c r="I3" s="229"/>
      <c r="J3" s="3" t="s">
        <v>2</v>
      </c>
      <c r="K3" s="229"/>
    </row>
    <row r="4" spans="1:11" ht="12.7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</row>
    <row r="5" spans="1:11" ht="17.25">
      <c r="A5" s="321" t="s">
        <v>358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t="17.25">
      <c r="A6" s="321" t="s">
        <v>359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1" ht="15" customHeight="1">
      <c r="A7" s="227"/>
      <c r="B7" s="227"/>
      <c r="C7" s="227"/>
      <c r="D7" s="227"/>
      <c r="E7" s="227"/>
      <c r="F7" s="227"/>
      <c r="G7" s="322"/>
      <c r="H7" s="322"/>
      <c r="I7" s="322"/>
      <c r="J7" s="322"/>
      <c r="K7" s="323" t="s">
        <v>360</v>
      </c>
    </row>
    <row r="8" spans="1:11" ht="11.25" customHeight="1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1" ht="12.75">
      <c r="A9" s="243" t="s">
        <v>361</v>
      </c>
      <c r="B9" s="243" t="s">
        <v>362</v>
      </c>
      <c r="C9" s="243" t="s">
        <v>12</v>
      </c>
      <c r="D9" s="243" t="s">
        <v>266</v>
      </c>
      <c r="E9" s="261" t="s">
        <v>363</v>
      </c>
      <c r="F9" s="261" t="s">
        <v>364</v>
      </c>
      <c r="G9" s="261" t="s">
        <v>365</v>
      </c>
      <c r="H9" s="261"/>
      <c r="I9" s="261"/>
      <c r="J9" s="261"/>
      <c r="K9" s="261"/>
    </row>
    <row r="10" spans="1:11" ht="12.75">
      <c r="A10" s="243"/>
      <c r="B10" s="243"/>
      <c r="C10" s="243"/>
      <c r="D10" s="243"/>
      <c r="E10" s="261"/>
      <c r="F10" s="261"/>
      <c r="G10" s="261" t="s">
        <v>366</v>
      </c>
      <c r="H10" s="261" t="s">
        <v>367</v>
      </c>
      <c r="I10" s="261"/>
      <c r="J10" s="261"/>
      <c r="K10" s="261" t="s">
        <v>368</v>
      </c>
    </row>
    <row r="11" spans="1:11" ht="30.75" customHeight="1">
      <c r="A11" s="243"/>
      <c r="B11" s="243"/>
      <c r="C11" s="243"/>
      <c r="D11" s="243"/>
      <c r="E11" s="261"/>
      <c r="F11" s="261"/>
      <c r="G11" s="261"/>
      <c r="H11" s="261" t="s">
        <v>369</v>
      </c>
      <c r="I11" s="261" t="s">
        <v>370</v>
      </c>
      <c r="J11" s="261" t="s">
        <v>371</v>
      </c>
      <c r="K11" s="261"/>
    </row>
    <row r="12" spans="1:11" ht="12.75">
      <c r="A12" s="324">
        <v>1</v>
      </c>
      <c r="B12" s="324">
        <v>2</v>
      </c>
      <c r="C12" s="324">
        <v>3</v>
      </c>
      <c r="D12" s="324">
        <v>4</v>
      </c>
      <c r="E12" s="324">
        <v>5</v>
      </c>
      <c r="F12" s="324">
        <v>6</v>
      </c>
      <c r="G12" s="324">
        <v>7</v>
      </c>
      <c r="H12" s="324">
        <v>8</v>
      </c>
      <c r="I12" s="324">
        <v>9</v>
      </c>
      <c r="J12" s="324">
        <v>10</v>
      </c>
      <c r="K12" s="324">
        <v>11</v>
      </c>
    </row>
    <row r="13" spans="1:11" ht="15">
      <c r="A13" s="10" t="s">
        <v>13</v>
      </c>
      <c r="B13" s="324"/>
      <c r="C13" s="324"/>
      <c r="D13" s="325"/>
      <c r="E13" s="104">
        <f>SUM(E14)</f>
        <v>35583.54</v>
      </c>
      <c r="F13" s="104">
        <f>SUM(F14)</f>
        <v>35583.54</v>
      </c>
      <c r="G13" s="104">
        <f>SUM(G14)</f>
        <v>35583.54</v>
      </c>
      <c r="H13" s="104">
        <f>SUM(H14)</f>
        <v>500</v>
      </c>
      <c r="I13" s="104">
        <f>SUM(I14)</f>
        <v>0</v>
      </c>
      <c r="J13" s="104">
        <f>SUM(J14)</f>
        <v>0</v>
      </c>
      <c r="K13" s="104">
        <f>SUM(K14)</f>
        <v>0</v>
      </c>
    </row>
    <row r="14" spans="1:11" ht="12.75">
      <c r="A14" s="326"/>
      <c r="B14" s="13" t="s">
        <v>15</v>
      </c>
      <c r="C14" s="324"/>
      <c r="D14" s="325"/>
      <c r="E14" s="327">
        <f>SUM(E15)</f>
        <v>35583.54</v>
      </c>
      <c r="F14" s="327">
        <f>SUM(F15:F18)</f>
        <v>35583.54</v>
      </c>
      <c r="G14" s="327">
        <f>SUM(G15:G18)</f>
        <v>35583.54</v>
      </c>
      <c r="H14" s="327">
        <f>SUM(H15:H18)</f>
        <v>500</v>
      </c>
      <c r="I14" s="327">
        <f>SUM(I15:I18)</f>
        <v>0</v>
      </c>
      <c r="J14" s="327">
        <f>SUM(J15:J18)</f>
        <v>0</v>
      </c>
      <c r="K14" s="327">
        <f>SUM(K15:K18)</f>
        <v>0</v>
      </c>
    </row>
    <row r="15" spans="1:11" ht="12.75">
      <c r="A15" s="326"/>
      <c r="B15" s="324"/>
      <c r="C15" s="328">
        <v>2010</v>
      </c>
      <c r="D15" s="325"/>
      <c r="E15" s="329">
        <f>1!H12</f>
        <v>35583.54</v>
      </c>
      <c r="F15" s="329"/>
      <c r="G15" s="329"/>
      <c r="H15" s="329"/>
      <c r="I15" s="329"/>
      <c r="J15" s="329"/>
      <c r="K15" s="329"/>
    </row>
    <row r="16" spans="1:11" ht="12.75">
      <c r="A16" s="326"/>
      <c r="B16" s="324"/>
      <c r="C16" s="70">
        <v>4170</v>
      </c>
      <c r="D16" s="325"/>
      <c r="E16" s="329"/>
      <c r="F16" s="329">
        <f>2!H16</f>
        <v>500</v>
      </c>
      <c r="G16" s="177">
        <f>F16</f>
        <v>500</v>
      </c>
      <c r="H16" s="177">
        <f>G16</f>
        <v>500</v>
      </c>
      <c r="I16" s="177"/>
      <c r="J16" s="330"/>
      <c r="K16" s="329"/>
    </row>
    <row r="17" spans="1:11" ht="12.75">
      <c r="A17" s="326"/>
      <c r="B17" s="324"/>
      <c r="C17" s="6">
        <v>4210</v>
      </c>
      <c r="D17" s="325"/>
      <c r="E17" s="329"/>
      <c r="F17" s="329">
        <f>2!H17</f>
        <v>197.71</v>
      </c>
      <c r="G17" s="177">
        <f>F17</f>
        <v>197.71</v>
      </c>
      <c r="H17" s="177"/>
      <c r="I17" s="177"/>
      <c r="J17" s="330"/>
      <c r="K17" s="329"/>
    </row>
    <row r="18" spans="1:11" ht="12.75">
      <c r="A18" s="326"/>
      <c r="B18" s="324"/>
      <c r="C18" s="6">
        <v>4430</v>
      </c>
      <c r="D18" s="324"/>
      <c r="E18" s="331"/>
      <c r="F18" s="329">
        <f>2!H18</f>
        <v>34885.83</v>
      </c>
      <c r="G18" s="177">
        <f>F18</f>
        <v>34885.83</v>
      </c>
      <c r="H18" s="177"/>
      <c r="I18" s="177"/>
      <c r="J18" s="177"/>
      <c r="K18" s="331"/>
    </row>
    <row r="19" spans="1:11" ht="12.75">
      <c r="A19" s="332"/>
      <c r="B19" s="324"/>
      <c r="C19" s="324"/>
      <c r="D19" s="324"/>
      <c r="E19" s="324"/>
      <c r="F19" s="324"/>
      <c r="G19" s="324"/>
      <c r="H19" s="324"/>
      <c r="I19" s="324"/>
      <c r="J19" s="324"/>
      <c r="K19" s="324"/>
    </row>
    <row r="20" spans="1:11" ht="15">
      <c r="A20" s="333">
        <v>750</v>
      </c>
      <c r="B20" s="334"/>
      <c r="C20" s="334"/>
      <c r="D20" s="335">
        <f>D21</f>
        <v>18000</v>
      </c>
      <c r="E20" s="104">
        <f>SUM(E23)</f>
        <v>29020</v>
      </c>
      <c r="F20" s="104">
        <f>SUM(F23)</f>
        <v>29020</v>
      </c>
      <c r="G20" s="104">
        <f>SUM(G23)</f>
        <v>29020</v>
      </c>
      <c r="H20" s="104">
        <f>SUM(H23)</f>
        <v>23900</v>
      </c>
      <c r="I20" s="104">
        <f>SUM(I23)</f>
        <v>4320</v>
      </c>
      <c r="J20" s="104">
        <f>SUM(J23)</f>
        <v>800</v>
      </c>
      <c r="K20" s="104">
        <f>SUM(K23)</f>
        <v>0</v>
      </c>
    </row>
    <row r="21" spans="1:11" ht="15">
      <c r="A21" s="336"/>
      <c r="B21" s="337">
        <v>75011</v>
      </c>
      <c r="C21" s="338"/>
      <c r="D21" s="339">
        <f>D22</f>
        <v>18000</v>
      </c>
      <c r="E21" s="340"/>
      <c r="F21" s="340"/>
      <c r="G21" s="340"/>
      <c r="H21" s="340"/>
      <c r="I21" s="340"/>
      <c r="J21" s="340"/>
      <c r="K21" s="340"/>
    </row>
    <row r="22" spans="1:11" ht="15">
      <c r="A22" s="336"/>
      <c r="B22" s="341"/>
      <c r="C22" s="342" t="s">
        <v>74</v>
      </c>
      <c r="D22" s="343">
        <v>18000</v>
      </c>
      <c r="E22" s="100"/>
      <c r="F22" s="100"/>
      <c r="G22" s="100"/>
      <c r="H22" s="100"/>
      <c r="I22" s="100"/>
      <c r="J22" s="100"/>
      <c r="K22" s="100"/>
    </row>
    <row r="23" spans="1:11" ht="13.5">
      <c r="A23" s="344"/>
      <c r="B23" s="345">
        <v>75011</v>
      </c>
      <c r="C23" s="346"/>
      <c r="D23" s="347"/>
      <c r="E23" s="327">
        <f>SUM(E24)</f>
        <v>29020</v>
      </c>
      <c r="F23" s="327">
        <f>SUM(F24:F29)</f>
        <v>29020</v>
      </c>
      <c r="G23" s="327">
        <f>SUM(G24:G29)</f>
        <v>29020</v>
      </c>
      <c r="H23" s="327">
        <f>SUM(H24:H29)</f>
        <v>23900</v>
      </c>
      <c r="I23" s="327">
        <f>SUM(I24:I29)</f>
        <v>4320</v>
      </c>
      <c r="J23" s="327">
        <f>SUM(J24:J29)</f>
        <v>800</v>
      </c>
      <c r="K23" s="327">
        <f>SUM(K24:K29)</f>
        <v>0</v>
      </c>
    </row>
    <row r="24" spans="1:11" ht="12.75">
      <c r="A24" s="348"/>
      <c r="B24" s="349"/>
      <c r="C24" s="328">
        <v>2010</v>
      </c>
      <c r="D24" s="350"/>
      <c r="E24" s="100">
        <f>1!H28</f>
        <v>29020</v>
      </c>
      <c r="F24" s="327"/>
      <c r="G24" s="327"/>
      <c r="H24" s="327"/>
      <c r="I24" s="327"/>
      <c r="J24" s="327"/>
      <c r="K24" s="327"/>
    </row>
    <row r="25" spans="1:11" ht="12.75">
      <c r="A25" s="240"/>
      <c r="B25" s="351"/>
      <c r="C25" s="352">
        <v>4010</v>
      </c>
      <c r="D25" s="353"/>
      <c r="E25" s="354"/>
      <c r="F25" s="177">
        <f>2!H47</f>
        <v>21900</v>
      </c>
      <c r="G25" s="177">
        <f>F25</f>
        <v>21900</v>
      </c>
      <c r="H25" s="177">
        <f>G25</f>
        <v>21900</v>
      </c>
      <c r="I25" s="177"/>
      <c r="J25" s="177"/>
      <c r="K25" s="100"/>
    </row>
    <row r="26" spans="1:11" ht="12.75">
      <c r="A26" s="240"/>
      <c r="B26" s="351"/>
      <c r="C26" s="352">
        <v>4040</v>
      </c>
      <c r="D26" s="353"/>
      <c r="E26" s="354"/>
      <c r="F26" s="177">
        <f>2!H48</f>
        <v>2000</v>
      </c>
      <c r="G26" s="177">
        <f>F26</f>
        <v>2000</v>
      </c>
      <c r="H26" s="177">
        <f>G26</f>
        <v>2000</v>
      </c>
      <c r="I26" s="177"/>
      <c r="J26" s="177"/>
      <c r="K26" s="100"/>
    </row>
    <row r="27" spans="1:11" ht="12.75">
      <c r="A27" s="240"/>
      <c r="B27" s="351"/>
      <c r="C27" s="352">
        <v>4110</v>
      </c>
      <c r="D27" s="353"/>
      <c r="E27" s="100"/>
      <c r="F27" s="177">
        <f>2!H49</f>
        <v>3800</v>
      </c>
      <c r="G27" s="177">
        <f>F27</f>
        <v>3800</v>
      </c>
      <c r="H27" s="177"/>
      <c r="I27" s="177">
        <f>G27</f>
        <v>3800</v>
      </c>
      <c r="J27" s="177"/>
      <c r="K27" s="100"/>
    </row>
    <row r="28" spans="1:11" ht="12.75">
      <c r="A28" s="240"/>
      <c r="B28" s="351"/>
      <c r="C28" s="352">
        <v>4120</v>
      </c>
      <c r="D28" s="353"/>
      <c r="E28" s="100"/>
      <c r="F28" s="177">
        <f>2!H50</f>
        <v>520</v>
      </c>
      <c r="G28" s="177">
        <f>F28</f>
        <v>520</v>
      </c>
      <c r="H28" s="177"/>
      <c r="I28" s="177">
        <f>G28</f>
        <v>520</v>
      </c>
      <c r="J28" s="177"/>
      <c r="K28" s="100"/>
    </row>
    <row r="29" spans="1:11" ht="12.75">
      <c r="A29" s="249"/>
      <c r="B29" s="351"/>
      <c r="C29" s="352">
        <v>4440</v>
      </c>
      <c r="D29" s="353"/>
      <c r="E29" s="100"/>
      <c r="F29" s="177">
        <f>2!H51</f>
        <v>800</v>
      </c>
      <c r="G29" s="177">
        <f>F29</f>
        <v>800</v>
      </c>
      <c r="H29" s="177"/>
      <c r="I29" s="177"/>
      <c r="J29" s="177">
        <f>G29</f>
        <v>800</v>
      </c>
      <c r="K29" s="100"/>
    </row>
    <row r="30" spans="1:11" ht="15">
      <c r="A30" s="355">
        <v>751</v>
      </c>
      <c r="B30" s="356"/>
      <c r="C30" s="356"/>
      <c r="D30" s="357"/>
      <c r="E30" s="209">
        <f>E31</f>
        <v>800</v>
      </c>
      <c r="F30" s="209">
        <f>F31</f>
        <v>800</v>
      </c>
      <c r="G30" s="209">
        <f>G31</f>
        <v>800</v>
      </c>
      <c r="H30" s="209">
        <f>H31</f>
        <v>0</v>
      </c>
      <c r="I30" s="209">
        <f>I31</f>
        <v>0</v>
      </c>
      <c r="J30" s="209">
        <f>J31</f>
        <v>0</v>
      </c>
      <c r="K30" s="209">
        <f>K31</f>
        <v>0</v>
      </c>
    </row>
    <row r="31" spans="1:11" ht="13.5">
      <c r="A31" s="358"/>
      <c r="B31" s="359">
        <v>75101</v>
      </c>
      <c r="C31" s="360"/>
      <c r="D31" s="361"/>
      <c r="E31" s="362">
        <f>SUM(E32)</f>
        <v>800</v>
      </c>
      <c r="F31" s="362">
        <f>SUM(F32:F33)</f>
        <v>800</v>
      </c>
      <c r="G31" s="362">
        <f>SUM(G32:G33)</f>
        <v>800</v>
      </c>
      <c r="H31" s="362">
        <f>SUM(H32:H33)</f>
        <v>0</v>
      </c>
      <c r="I31" s="362">
        <f>SUM(I32:I33)</f>
        <v>0</v>
      </c>
      <c r="J31" s="362">
        <f>SUM(J32:J33)</f>
        <v>0</v>
      </c>
      <c r="K31" s="362">
        <f>SUM(K32:K33)</f>
        <v>0</v>
      </c>
    </row>
    <row r="32" spans="1:11" ht="13.5">
      <c r="A32" s="363"/>
      <c r="B32" s="364"/>
      <c r="C32" s="328">
        <v>2010</v>
      </c>
      <c r="D32" s="350"/>
      <c r="E32" s="365">
        <v>800</v>
      </c>
      <c r="F32" s="365"/>
      <c r="G32" s="365"/>
      <c r="H32" s="365"/>
      <c r="I32" s="365"/>
      <c r="J32" s="365"/>
      <c r="K32" s="366"/>
    </row>
    <row r="33" spans="1:11" ht="13.5">
      <c r="A33" s="367"/>
      <c r="B33" s="368"/>
      <c r="C33" s="352">
        <v>4120</v>
      </c>
      <c r="D33" s="353"/>
      <c r="E33" s="365"/>
      <c r="F33" s="365">
        <v>800</v>
      </c>
      <c r="G33" s="365">
        <f>F33</f>
        <v>800</v>
      </c>
      <c r="H33" s="365"/>
      <c r="I33" s="365"/>
      <c r="J33" s="365"/>
      <c r="K33" s="366"/>
    </row>
    <row r="34" spans="1:11" ht="15">
      <c r="A34" s="369">
        <v>754</v>
      </c>
      <c r="B34" s="370"/>
      <c r="C34" s="370"/>
      <c r="D34" s="371"/>
      <c r="E34" s="372">
        <f>SUM(E35)</f>
        <v>300</v>
      </c>
      <c r="F34" s="372">
        <f>SUM(F35)</f>
        <v>300</v>
      </c>
      <c r="G34" s="372">
        <f>SUM(G35)</f>
        <v>300</v>
      </c>
      <c r="H34" s="372">
        <f>SUM(H35)</f>
        <v>0</v>
      </c>
      <c r="I34" s="372">
        <f>SUM(I35)</f>
        <v>0</v>
      </c>
      <c r="J34" s="372">
        <f>SUM(J35)</f>
        <v>0</v>
      </c>
      <c r="K34" s="372">
        <f>SUM(K35)</f>
        <v>0</v>
      </c>
    </row>
    <row r="35" spans="1:11" ht="15">
      <c r="A35" s="373"/>
      <c r="B35" s="374">
        <v>75412</v>
      </c>
      <c r="C35" s="375"/>
      <c r="D35" s="376"/>
      <c r="E35" s="377">
        <f>SUM(E36)</f>
        <v>300</v>
      </c>
      <c r="F35" s="377">
        <f>SUM(F37:F37)</f>
        <v>300</v>
      </c>
      <c r="G35" s="377">
        <f>SUM(G37:G37)</f>
        <v>300</v>
      </c>
      <c r="H35" s="377">
        <f>SUM(H37:H37)</f>
        <v>0</v>
      </c>
      <c r="I35" s="377">
        <f>SUM(I37:I37)</f>
        <v>0</v>
      </c>
      <c r="J35" s="377">
        <f>SUM(J37:J37)</f>
        <v>0</v>
      </c>
      <c r="K35" s="377">
        <f>SUM(K37:K37)</f>
        <v>0</v>
      </c>
    </row>
    <row r="36" spans="1:11" ht="15">
      <c r="A36" s="373"/>
      <c r="B36" s="378"/>
      <c r="C36" s="379" t="s">
        <v>17</v>
      </c>
      <c r="D36" s="350"/>
      <c r="E36" s="100">
        <v>300</v>
      </c>
      <c r="F36" s="380"/>
      <c r="G36" s="380"/>
      <c r="H36" s="380"/>
      <c r="I36" s="380"/>
      <c r="J36" s="380"/>
      <c r="K36" s="100"/>
    </row>
    <row r="37" spans="1:11" ht="15">
      <c r="A37" s="381"/>
      <c r="B37" s="382"/>
      <c r="C37" s="352">
        <v>4300</v>
      </c>
      <c r="D37" s="353"/>
      <c r="E37" s="100"/>
      <c r="F37" s="380">
        <v>300</v>
      </c>
      <c r="G37" s="380">
        <f>F37</f>
        <v>300</v>
      </c>
      <c r="H37" s="380"/>
      <c r="I37" s="380"/>
      <c r="J37" s="380"/>
      <c r="K37" s="100"/>
    </row>
    <row r="38" spans="1:11" ht="15">
      <c r="A38" s="333">
        <v>852</v>
      </c>
      <c r="B38" s="383"/>
      <c r="C38" s="383"/>
      <c r="D38" s="384">
        <f>D39</f>
        <v>35</v>
      </c>
      <c r="E38" s="104">
        <f>SUM(E55,E58,E41,E61)</f>
        <v>1384420</v>
      </c>
      <c r="F38" s="104">
        <f>SUM(F55,F58,F41,F61)</f>
        <v>1383420</v>
      </c>
      <c r="G38" s="104">
        <f>SUM(G55,G58,G41,G61)</f>
        <v>1383420</v>
      </c>
      <c r="H38" s="104">
        <f>SUM(H55,H58,H41,H61)</f>
        <v>23600</v>
      </c>
      <c r="I38" s="104">
        <f>SUM(I55,I58,I41,I61)</f>
        <v>4910</v>
      </c>
      <c r="J38" s="104">
        <f>SUM(J55,J58,J41,J61)</f>
        <v>1346706</v>
      </c>
      <c r="K38" s="104">
        <f>SUM(K55,K58,K41,K61)</f>
        <v>0</v>
      </c>
    </row>
    <row r="39" spans="1:11" ht="15">
      <c r="A39" s="336"/>
      <c r="B39" s="385">
        <v>85212</v>
      </c>
      <c r="C39" s="383"/>
      <c r="D39" s="377">
        <f>D40</f>
        <v>35</v>
      </c>
      <c r="E39" s="104"/>
      <c r="F39" s="104"/>
      <c r="G39" s="104"/>
      <c r="H39" s="104"/>
      <c r="I39" s="104"/>
      <c r="J39" s="104"/>
      <c r="K39" s="104"/>
    </row>
    <row r="40" spans="1:11" ht="15">
      <c r="A40" s="336"/>
      <c r="B40" s="386"/>
      <c r="C40" s="387" t="s">
        <v>107</v>
      </c>
      <c r="D40" s="380">
        <v>35</v>
      </c>
      <c r="E40" s="100"/>
      <c r="F40" s="100"/>
      <c r="G40" s="100"/>
      <c r="H40" s="100"/>
      <c r="I40" s="100"/>
      <c r="J40" s="100"/>
      <c r="K40" s="100"/>
    </row>
    <row r="41" spans="1:11" ht="15">
      <c r="A41" s="336"/>
      <c r="B41" s="388">
        <v>85212</v>
      </c>
      <c r="C41" s="389"/>
      <c r="D41" s="390"/>
      <c r="E41" s="362">
        <f>SUM(E42)</f>
        <v>1177412</v>
      </c>
      <c r="F41" s="362">
        <f>SUM(F43:F54)</f>
        <v>1176412</v>
      </c>
      <c r="G41" s="362">
        <f>SUM(G43:G54)</f>
        <v>1176412</v>
      </c>
      <c r="H41" s="362">
        <f>SUM(H43:H54)</f>
        <v>23600</v>
      </c>
      <c r="I41" s="362">
        <f>SUM(I43:I54)</f>
        <v>4910</v>
      </c>
      <c r="J41" s="362">
        <f>SUM(J43:J54)</f>
        <v>1139698</v>
      </c>
      <c r="K41" s="362">
        <f>SUM(K43:K54)</f>
        <v>0</v>
      </c>
    </row>
    <row r="42" spans="1:11" ht="15">
      <c r="A42" s="336"/>
      <c r="B42" s="391"/>
      <c r="C42" s="328">
        <v>2010</v>
      </c>
      <c r="D42" s="350"/>
      <c r="E42" s="365">
        <f>1!H84</f>
        <v>1177412</v>
      </c>
      <c r="F42" s="366"/>
      <c r="G42" s="366"/>
      <c r="H42" s="366"/>
      <c r="I42" s="366"/>
      <c r="J42" s="366"/>
      <c r="K42" s="392"/>
    </row>
    <row r="43" spans="1:11" ht="15">
      <c r="A43" s="336"/>
      <c r="B43" s="391"/>
      <c r="C43" s="243">
        <v>3020</v>
      </c>
      <c r="D43" s="259"/>
      <c r="E43" s="100"/>
      <c r="F43" s="135">
        <f>2!H182</f>
        <v>104</v>
      </c>
      <c r="G43" s="135">
        <f>F43</f>
        <v>104</v>
      </c>
      <c r="H43" s="135"/>
      <c r="I43" s="135"/>
      <c r="J43" s="135"/>
      <c r="K43" s="135"/>
    </row>
    <row r="44" spans="1:11" ht="15">
      <c r="A44" s="336"/>
      <c r="B44" s="391"/>
      <c r="C44" s="328">
        <v>3040</v>
      </c>
      <c r="D44" s="350"/>
      <c r="E44" s="100"/>
      <c r="F44" s="135">
        <f>2!H183</f>
        <v>600</v>
      </c>
      <c r="G44" s="135">
        <f>F44</f>
        <v>600</v>
      </c>
      <c r="H44" s="135"/>
      <c r="I44" s="135"/>
      <c r="J44" s="135"/>
      <c r="K44" s="135"/>
    </row>
    <row r="45" spans="1:11" ht="15">
      <c r="A45" s="336"/>
      <c r="B45" s="391"/>
      <c r="C45" s="352">
        <v>3110</v>
      </c>
      <c r="D45" s="353"/>
      <c r="E45" s="365"/>
      <c r="F45" s="135">
        <f>2!H184</f>
        <v>1128788</v>
      </c>
      <c r="G45" s="135">
        <f>F45</f>
        <v>1128788</v>
      </c>
      <c r="H45" s="135"/>
      <c r="I45" s="135"/>
      <c r="J45" s="135">
        <f>G45</f>
        <v>1128788</v>
      </c>
      <c r="K45" s="100"/>
    </row>
    <row r="46" spans="1:11" ht="15">
      <c r="A46" s="336"/>
      <c r="B46" s="391"/>
      <c r="C46" s="352">
        <v>4010</v>
      </c>
      <c r="D46" s="353"/>
      <c r="E46" s="365"/>
      <c r="F46" s="135">
        <f>2!H185</f>
        <v>22313</v>
      </c>
      <c r="G46" s="135">
        <f>F46</f>
        <v>22313</v>
      </c>
      <c r="H46" s="135">
        <f>G46</f>
        <v>22313</v>
      </c>
      <c r="I46" s="135"/>
      <c r="J46" s="135"/>
      <c r="K46" s="135"/>
    </row>
    <row r="47" spans="1:11" ht="15">
      <c r="A47" s="336"/>
      <c r="B47" s="391"/>
      <c r="C47" s="352">
        <v>4040</v>
      </c>
      <c r="D47" s="353"/>
      <c r="E47" s="365"/>
      <c r="F47" s="135">
        <f>2!H186</f>
        <v>1287</v>
      </c>
      <c r="G47" s="135">
        <f>F47</f>
        <v>1287</v>
      </c>
      <c r="H47" s="135">
        <f>G47</f>
        <v>1287</v>
      </c>
      <c r="I47" s="135"/>
      <c r="J47" s="135"/>
      <c r="K47" s="135"/>
    </row>
    <row r="48" spans="1:11" ht="15">
      <c r="A48" s="336"/>
      <c r="B48" s="391"/>
      <c r="C48" s="352">
        <v>4110</v>
      </c>
      <c r="D48" s="353"/>
      <c r="E48" s="365"/>
      <c r="F48" s="135">
        <f>2!H187</f>
        <v>14300</v>
      </c>
      <c r="G48" s="135">
        <f>F48</f>
        <v>14300</v>
      </c>
      <c r="H48" s="135"/>
      <c r="I48" s="135">
        <f>G48-J48</f>
        <v>4300</v>
      </c>
      <c r="J48" s="135">
        <v>10000</v>
      </c>
      <c r="K48" s="100"/>
    </row>
    <row r="49" spans="1:11" ht="15">
      <c r="A49" s="336"/>
      <c r="B49" s="391"/>
      <c r="C49" s="352">
        <v>4120</v>
      </c>
      <c r="D49" s="353"/>
      <c r="E49" s="365"/>
      <c r="F49" s="135">
        <f>2!H188</f>
        <v>610</v>
      </c>
      <c r="G49" s="135">
        <f>F49</f>
        <v>610</v>
      </c>
      <c r="H49" s="135"/>
      <c r="I49" s="135">
        <f>G49</f>
        <v>610</v>
      </c>
      <c r="J49" s="135"/>
      <c r="K49" s="135"/>
    </row>
    <row r="50" spans="1:11" ht="15">
      <c r="A50" s="336"/>
      <c r="B50" s="391"/>
      <c r="C50" s="352">
        <v>4210</v>
      </c>
      <c r="D50" s="353"/>
      <c r="E50" s="365"/>
      <c r="F50" s="135">
        <f>2!H189</f>
        <v>500</v>
      </c>
      <c r="G50" s="135">
        <f>F50</f>
        <v>500</v>
      </c>
      <c r="H50" s="135"/>
      <c r="I50" s="135"/>
      <c r="J50" s="135"/>
      <c r="K50" s="135"/>
    </row>
    <row r="51" spans="1:11" ht="15">
      <c r="A51" s="336"/>
      <c r="B51" s="391"/>
      <c r="C51" s="352">
        <v>4300</v>
      </c>
      <c r="D51" s="353"/>
      <c r="E51" s="365"/>
      <c r="F51" s="135">
        <f>2!H190</f>
        <v>5000</v>
      </c>
      <c r="G51" s="135">
        <f>F51</f>
        <v>5000</v>
      </c>
      <c r="H51" s="135"/>
      <c r="I51" s="135"/>
      <c r="J51" s="135"/>
      <c r="K51" s="135"/>
    </row>
    <row r="52" spans="1:11" ht="15">
      <c r="A52" s="336"/>
      <c r="B52" s="391"/>
      <c r="C52" s="352">
        <v>4410</v>
      </c>
      <c r="D52" s="353"/>
      <c r="E52" s="365"/>
      <c r="F52" s="135">
        <f>2!H191</f>
        <v>500</v>
      </c>
      <c r="G52" s="135">
        <f>F52</f>
        <v>500</v>
      </c>
      <c r="H52" s="135"/>
      <c r="I52" s="135"/>
      <c r="J52" s="135"/>
      <c r="K52" s="135"/>
    </row>
    <row r="53" spans="1:11" ht="15">
      <c r="A53" s="336"/>
      <c r="B53" s="240"/>
      <c r="C53" s="393">
        <v>4440</v>
      </c>
      <c r="D53" s="394"/>
      <c r="E53" s="100"/>
      <c r="F53" s="135">
        <f>2!H192</f>
        <v>910</v>
      </c>
      <c r="G53" s="135">
        <f>F53</f>
        <v>910</v>
      </c>
      <c r="H53" s="135"/>
      <c r="I53" s="135"/>
      <c r="J53" s="135">
        <f>G53</f>
        <v>910</v>
      </c>
      <c r="K53" s="100"/>
    </row>
    <row r="54" spans="1:11" ht="15">
      <c r="A54" s="336"/>
      <c r="B54" s="240"/>
      <c r="C54" s="393">
        <v>4750</v>
      </c>
      <c r="D54" s="394"/>
      <c r="E54" s="100"/>
      <c r="F54" s="135">
        <f>2!H194</f>
        <v>1500</v>
      </c>
      <c r="G54" s="135">
        <f>F54</f>
        <v>1500</v>
      </c>
      <c r="H54" s="135"/>
      <c r="I54" s="135"/>
      <c r="J54" s="135"/>
      <c r="K54" s="100"/>
    </row>
    <row r="55" spans="1:11" ht="13.5">
      <c r="A55" s="391"/>
      <c r="B55" s="388">
        <v>85213</v>
      </c>
      <c r="C55" s="395"/>
      <c r="D55" s="396"/>
      <c r="E55" s="362">
        <f>SUM(E56)</f>
        <v>5500</v>
      </c>
      <c r="F55" s="362">
        <f>SUM(F57)</f>
        <v>5500</v>
      </c>
      <c r="G55" s="362">
        <f>SUM(G57)</f>
        <v>5500</v>
      </c>
      <c r="H55" s="362">
        <f>SUM(H57)</f>
        <v>0</v>
      </c>
      <c r="I55" s="362">
        <f>SUM(I57)</f>
        <v>0</v>
      </c>
      <c r="J55" s="362">
        <f>SUM(J57)</f>
        <v>5500</v>
      </c>
      <c r="K55" s="362">
        <f>SUM(K57)</f>
        <v>0</v>
      </c>
    </row>
    <row r="56" spans="1:11" ht="13.5">
      <c r="A56" s="391"/>
      <c r="B56" s="391"/>
      <c r="C56" s="328">
        <v>2010</v>
      </c>
      <c r="D56" s="350"/>
      <c r="E56" s="365">
        <f>1!H86</f>
        <v>5500</v>
      </c>
      <c r="F56" s="392"/>
      <c r="G56" s="392"/>
      <c r="H56" s="392"/>
      <c r="I56" s="392"/>
      <c r="J56" s="392"/>
      <c r="K56" s="392"/>
    </row>
    <row r="57" spans="1:11" ht="15">
      <c r="A57" s="240"/>
      <c r="B57" s="240"/>
      <c r="C57" s="352">
        <v>4130</v>
      </c>
      <c r="D57" s="353"/>
      <c r="E57" s="100"/>
      <c r="F57" s="100">
        <f>2!H196</f>
        <v>5500</v>
      </c>
      <c r="G57" s="100">
        <f>F57</f>
        <v>5500</v>
      </c>
      <c r="H57" s="100"/>
      <c r="I57" s="100"/>
      <c r="J57" s="100">
        <f>F57</f>
        <v>5500</v>
      </c>
      <c r="K57" s="104"/>
    </row>
    <row r="58" spans="1:11" ht="13.5">
      <c r="A58" s="344"/>
      <c r="B58" s="388">
        <v>85214</v>
      </c>
      <c r="C58" s="397"/>
      <c r="D58" s="398"/>
      <c r="E58" s="362">
        <f>SUM(E59)</f>
        <v>66000</v>
      </c>
      <c r="F58" s="362">
        <f>SUM(F60:F60)</f>
        <v>66000</v>
      </c>
      <c r="G58" s="362">
        <f>SUM(G60:G60)</f>
        <v>66000</v>
      </c>
      <c r="H58" s="362">
        <f>SUM(H60:H60)</f>
        <v>0</v>
      </c>
      <c r="I58" s="362">
        <f>SUM(I60:I60)</f>
        <v>0</v>
      </c>
      <c r="J58" s="362">
        <f>SUM(J60:J60)</f>
        <v>66000</v>
      </c>
      <c r="K58" s="362">
        <f>SUM(K60:K60)</f>
        <v>0</v>
      </c>
    </row>
    <row r="59" spans="1:11" ht="13.5">
      <c r="A59" s="344"/>
      <c r="B59" s="391"/>
      <c r="C59" s="328">
        <v>2010</v>
      </c>
      <c r="D59" s="350"/>
      <c r="E59" s="365">
        <f>1!H88</f>
        <v>66000</v>
      </c>
      <c r="F59" s="392"/>
      <c r="G59" s="392"/>
      <c r="H59" s="392"/>
      <c r="I59" s="392"/>
      <c r="J59" s="392"/>
      <c r="K59" s="392"/>
    </row>
    <row r="60" spans="1:11" ht="12.75">
      <c r="A60" s="240"/>
      <c r="B60" s="240"/>
      <c r="C60" s="352">
        <v>3110</v>
      </c>
      <c r="D60" s="353"/>
      <c r="E60" s="100"/>
      <c r="F60" s="100">
        <f>E59</f>
        <v>66000</v>
      </c>
      <c r="G60" s="100">
        <f>F60</f>
        <v>66000</v>
      </c>
      <c r="H60" s="100"/>
      <c r="I60" s="100"/>
      <c r="J60" s="100">
        <f>F60</f>
        <v>66000</v>
      </c>
      <c r="K60" s="100"/>
    </row>
    <row r="61" spans="1:11" ht="12.75">
      <c r="A61" s="240"/>
      <c r="B61" s="28" t="s">
        <v>131</v>
      </c>
      <c r="C61" s="352"/>
      <c r="D61" s="353"/>
      <c r="E61" s="340">
        <f>SUM(E62)</f>
        <v>135508</v>
      </c>
      <c r="F61" s="340">
        <f>SUM(F63)</f>
        <v>135508</v>
      </c>
      <c r="G61" s="340">
        <f>SUM(G63)</f>
        <v>135508</v>
      </c>
      <c r="H61" s="340">
        <f>SUM(H63)</f>
        <v>0</v>
      </c>
      <c r="I61" s="340">
        <f>SUM(I63)</f>
        <v>0</v>
      </c>
      <c r="J61" s="340">
        <f>SUM(J63)</f>
        <v>135508</v>
      </c>
      <c r="K61" s="340">
        <f>SUM(K63)</f>
        <v>0</v>
      </c>
    </row>
    <row r="62" spans="1:11" ht="12.75">
      <c r="A62" s="240"/>
      <c r="B62" s="399"/>
      <c r="C62" s="352">
        <v>2010</v>
      </c>
      <c r="D62" s="353"/>
      <c r="E62" s="100">
        <f>1!H93</f>
        <v>135508</v>
      </c>
      <c r="F62" s="100"/>
      <c r="G62" s="100"/>
      <c r="H62" s="100"/>
      <c r="I62" s="100"/>
      <c r="J62" s="100"/>
      <c r="K62" s="100"/>
    </row>
    <row r="63" spans="1:11" ht="12.75">
      <c r="A63" s="249"/>
      <c r="B63" s="249"/>
      <c r="C63" s="352">
        <v>3110</v>
      </c>
      <c r="D63" s="353"/>
      <c r="E63" s="100"/>
      <c r="F63" s="100">
        <f>E62</f>
        <v>135508</v>
      </c>
      <c r="G63" s="100">
        <f>F63</f>
        <v>135508</v>
      </c>
      <c r="H63" s="100"/>
      <c r="I63" s="100"/>
      <c r="J63" s="100">
        <f>G63</f>
        <v>135508</v>
      </c>
      <c r="K63" s="100"/>
    </row>
    <row r="64" spans="1:11" ht="17.25">
      <c r="A64" s="400" t="s">
        <v>372</v>
      </c>
      <c r="B64" s="400"/>
      <c r="C64" s="400"/>
      <c r="D64" s="401">
        <f>D20+D38</f>
        <v>18035</v>
      </c>
      <c r="E64" s="402">
        <f>E20+E30+E38+E34+E13</f>
        <v>1450123.54</v>
      </c>
      <c r="F64" s="402">
        <f>F20+F30+F38+F34+F13</f>
        <v>1449123.54</v>
      </c>
      <c r="G64" s="402">
        <f>G20+G30+G38+G34+G13</f>
        <v>1449123.54</v>
      </c>
      <c r="H64" s="402">
        <f>H20+H30+H38+H34+H13</f>
        <v>48000</v>
      </c>
      <c r="I64" s="402">
        <f>I20+I30+I38+I34+I13</f>
        <v>9230</v>
      </c>
      <c r="J64" s="402">
        <f>J20+J30+J38+J34+J13</f>
        <v>1347506</v>
      </c>
      <c r="K64" s="402">
        <f>K20+K30+K38+K34+K13</f>
        <v>0</v>
      </c>
    </row>
    <row r="66" spans="5:10" ht="15">
      <c r="E66" s="303"/>
      <c r="F66" s="303"/>
      <c r="G66" s="303"/>
      <c r="H66" s="303"/>
      <c r="I66" s="303"/>
      <c r="J66" s="303"/>
    </row>
    <row r="67" spans="3:11" ht="15">
      <c r="C67" s="272"/>
      <c r="D67" s="272"/>
      <c r="E67" s="303"/>
      <c r="F67" s="303"/>
      <c r="G67" s="303"/>
      <c r="H67" s="303"/>
      <c r="I67" s="303"/>
      <c r="J67" s="303"/>
      <c r="K67" s="303"/>
    </row>
    <row r="68" spans="3:11" ht="12.75">
      <c r="C68" s="272"/>
      <c r="D68" s="272"/>
      <c r="E68" s="111"/>
      <c r="F68" s="111"/>
      <c r="G68" s="111"/>
      <c r="H68" s="111"/>
      <c r="I68" s="111"/>
      <c r="J68" s="111"/>
      <c r="K68" s="111"/>
    </row>
    <row r="69" spans="5:11" ht="12.75">
      <c r="E69" s="111"/>
      <c r="F69" s="111"/>
      <c r="G69" s="111"/>
      <c r="H69" s="111"/>
      <c r="I69" s="111"/>
      <c r="J69" s="111"/>
      <c r="K69" s="111"/>
    </row>
    <row r="70" spans="5:11" ht="13.5">
      <c r="E70" s="306"/>
      <c r="F70" s="306"/>
      <c r="G70" s="306"/>
      <c r="H70" s="306"/>
      <c r="I70" s="306"/>
      <c r="J70" s="306"/>
      <c r="K70" s="306"/>
    </row>
  </sheetData>
  <mergeCells count="13">
    <mergeCell ref="A5:K5"/>
    <mergeCell ref="A6:K6"/>
    <mergeCell ref="A9:A11"/>
    <mergeCell ref="B9:B11"/>
    <mergeCell ref="C9:C11"/>
    <mergeCell ref="D9:D11"/>
    <mergeCell ref="E9:E11"/>
    <mergeCell ref="F9:F11"/>
    <mergeCell ref="G9:K9"/>
    <mergeCell ref="G10:G11"/>
    <mergeCell ref="H10:J10"/>
    <mergeCell ref="K10:K11"/>
    <mergeCell ref="A64:C64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90"/>
  <rowBreaks count="1" manualBreakCount="1">
    <brk id="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zoomScale="85" zoomScaleNormal="85" zoomScaleSheetLayoutView="55" workbookViewId="0" topLeftCell="B1">
      <selection activeCell="E31" sqref="E31"/>
    </sheetView>
  </sheetViews>
  <sheetFormatPr defaultColWidth="9.00390625" defaultRowHeight="12.75"/>
  <cols>
    <col min="1" max="1" width="6.25390625" style="2" customWidth="1"/>
    <col min="2" max="2" width="42.125" style="2" customWidth="1"/>
    <col min="3" max="3" width="17.875" style="2" customWidth="1"/>
    <col min="4" max="4" width="14.625" style="2" customWidth="1"/>
    <col min="5" max="5" width="19.125" style="2" customWidth="1"/>
    <col min="6" max="7" width="15.875" style="2" customWidth="1"/>
    <col min="8" max="8" width="9.00390625" style="2" customWidth="1"/>
    <col min="9" max="10" width="10.75390625" style="2" customWidth="1"/>
    <col min="11" max="11" width="11.125" style="2" customWidth="1"/>
    <col min="12" max="12" width="10.25390625" style="2" customWidth="1"/>
    <col min="13" max="255" width="9.00390625" style="2" customWidth="1"/>
  </cols>
  <sheetData>
    <row r="1" spans="1:7" ht="12.75">
      <c r="A1" s="227"/>
      <c r="B1" s="227"/>
      <c r="C1" s="227"/>
      <c r="D1" s="227"/>
      <c r="E1" s="229" t="s">
        <v>373</v>
      </c>
      <c r="F1" s="229"/>
      <c r="G1" s="227"/>
    </row>
    <row r="2" spans="1:7" ht="12.75">
      <c r="A2" s="227"/>
      <c r="B2" s="227"/>
      <c r="C2" s="227"/>
      <c r="D2" s="227"/>
      <c r="E2" s="229" t="s">
        <v>1</v>
      </c>
      <c r="F2" s="229"/>
      <c r="G2" s="227"/>
    </row>
    <row r="3" spans="1:7" ht="12.75">
      <c r="A3" s="227"/>
      <c r="B3" s="227"/>
      <c r="C3" s="227"/>
      <c r="D3" s="227"/>
      <c r="E3" s="3" t="s">
        <v>2</v>
      </c>
      <c r="F3" s="229"/>
      <c r="G3" s="227"/>
    </row>
    <row r="4" spans="1:7" ht="12.75">
      <c r="A4" s="227"/>
      <c r="B4" s="227"/>
      <c r="C4" s="227"/>
      <c r="D4" s="227"/>
      <c r="E4" s="231"/>
      <c r="F4" s="231"/>
      <c r="G4" s="227"/>
    </row>
    <row r="5" spans="1:7" ht="12.75">
      <c r="A5" s="227"/>
      <c r="B5" s="227"/>
      <c r="C5" s="227"/>
      <c r="D5" s="227"/>
      <c r="E5" s="231"/>
      <c r="F5" s="231"/>
      <c r="G5" s="227"/>
    </row>
    <row r="6" spans="1:7" ht="12.75">
      <c r="A6" s="227"/>
      <c r="B6" s="227"/>
      <c r="C6" s="227"/>
      <c r="D6" s="227"/>
      <c r="E6" s="231"/>
      <c r="F6" s="231"/>
      <c r="G6" s="227"/>
    </row>
    <row r="7" spans="1:7" ht="17.25">
      <c r="A7" s="321" t="s">
        <v>374</v>
      </c>
      <c r="B7" s="321"/>
      <c r="C7" s="321"/>
      <c r="D7" s="321"/>
      <c r="E7" s="321"/>
      <c r="F7" s="321"/>
      <c r="G7" s="227"/>
    </row>
    <row r="8" spans="1:7" ht="12.75">
      <c r="A8" s="227"/>
      <c r="B8" s="227"/>
      <c r="C8" s="227"/>
      <c r="D8" s="227"/>
      <c r="E8" s="227"/>
      <c r="F8" s="227"/>
      <c r="G8" s="227"/>
    </row>
    <row r="9" spans="1:7" ht="12.75">
      <c r="A9" s="403" t="s">
        <v>375</v>
      </c>
      <c r="B9" s="403" t="s">
        <v>376</v>
      </c>
      <c r="C9" s="404" t="s">
        <v>377</v>
      </c>
      <c r="D9" s="405" t="s">
        <v>378</v>
      </c>
      <c r="E9" s="405"/>
      <c r="F9" s="405"/>
      <c r="G9" s="405"/>
    </row>
    <row r="10" spans="1:8" ht="12.75">
      <c r="A10" s="403"/>
      <c r="B10" s="403"/>
      <c r="C10" s="406" t="s">
        <v>379</v>
      </c>
      <c r="D10" s="403">
        <v>2007</v>
      </c>
      <c r="E10" s="403">
        <v>2008</v>
      </c>
      <c r="F10" s="403">
        <v>2009</v>
      </c>
      <c r="G10" s="403">
        <v>20010</v>
      </c>
      <c r="H10" s="407"/>
    </row>
    <row r="11" spans="1:10" ht="12.75">
      <c r="A11" s="403"/>
      <c r="B11" s="403"/>
      <c r="C11" s="408" t="s">
        <v>380</v>
      </c>
      <c r="D11" s="403"/>
      <c r="E11" s="403"/>
      <c r="F11" s="403"/>
      <c r="G11" s="403"/>
      <c r="H11" s="407"/>
      <c r="I11" s="274" t="s">
        <v>381</v>
      </c>
      <c r="J11" s="274"/>
    </row>
    <row r="12" spans="1:10" ht="12.75">
      <c r="A12" s="253">
        <v>1</v>
      </c>
      <c r="B12" s="253">
        <f>A12+1</f>
        <v>2</v>
      </c>
      <c r="C12" s="253">
        <f>B12+1</f>
        <v>3</v>
      </c>
      <c r="D12" s="253">
        <f>C12+1</f>
        <v>4</v>
      </c>
      <c r="E12" s="253">
        <f>D12+1</f>
        <v>5</v>
      </c>
      <c r="F12" s="253">
        <f>E12+1</f>
        <v>6</v>
      </c>
      <c r="G12" s="253">
        <f>F12+1</f>
        <v>7</v>
      </c>
      <c r="H12" s="409"/>
      <c r="I12" s="105">
        <v>30000</v>
      </c>
      <c r="J12" s="105"/>
    </row>
    <row r="13" spans="1:11" ht="15">
      <c r="A13" s="237" t="s">
        <v>309</v>
      </c>
      <c r="B13" s="410" t="s">
        <v>382</v>
      </c>
      <c r="C13" s="411"/>
      <c r="D13" s="411"/>
      <c r="E13" s="411"/>
      <c r="F13" s="411"/>
      <c r="G13" s="411"/>
      <c r="H13" s="412"/>
      <c r="I13" s="105">
        <v>30000</v>
      </c>
      <c r="J13" s="105"/>
      <c r="K13" s="274" t="s">
        <v>383</v>
      </c>
    </row>
    <row r="14" spans="1:11" ht="15">
      <c r="A14" s="237" t="s">
        <v>311</v>
      </c>
      <c r="B14" s="410" t="s">
        <v>318</v>
      </c>
      <c r="C14" s="98">
        <v>320000</v>
      </c>
      <c r="D14" s="98">
        <f>200000</f>
        <v>200000</v>
      </c>
      <c r="E14" s="98">
        <f>100000</f>
        <v>100000</v>
      </c>
      <c r="F14" s="98"/>
      <c r="G14" s="98"/>
      <c r="H14" s="412"/>
      <c r="I14" s="105">
        <v>30000</v>
      </c>
      <c r="J14" s="105"/>
      <c r="K14" s="105">
        <v>15447.89</v>
      </c>
    </row>
    <row r="15" spans="1:12" ht="15">
      <c r="A15" s="237" t="s">
        <v>321</v>
      </c>
      <c r="B15" s="410" t="s">
        <v>320</v>
      </c>
      <c r="C15" s="98">
        <f>375448+446970</f>
        <v>822418</v>
      </c>
      <c r="D15" s="98">
        <f>C15-39448-446970</f>
        <v>336000</v>
      </c>
      <c r="E15" s="98">
        <f>D15-96000</f>
        <v>240000</v>
      </c>
      <c r="F15" s="98">
        <f>E15-96000</f>
        <v>144000</v>
      </c>
      <c r="G15" s="98">
        <f>F15-96000</f>
        <v>48000</v>
      </c>
      <c r="H15" s="412"/>
      <c r="I15" s="105">
        <v>30000</v>
      </c>
      <c r="J15" s="105">
        <f>SUM(I12:I15)</f>
        <v>120000</v>
      </c>
      <c r="K15" s="105">
        <v>24000</v>
      </c>
      <c r="L15" s="105">
        <f>SUM(K14:K15)</f>
        <v>39447.89</v>
      </c>
    </row>
    <row r="16" spans="1:12" ht="15">
      <c r="A16" s="237" t="s">
        <v>324</v>
      </c>
      <c r="B16" s="410" t="s">
        <v>384</v>
      </c>
      <c r="C16" s="98"/>
      <c r="D16" s="98"/>
      <c r="E16" s="98"/>
      <c r="F16" s="98"/>
      <c r="G16" s="98"/>
      <c r="H16" s="412"/>
      <c r="I16" s="105">
        <v>25000</v>
      </c>
      <c r="J16" s="105"/>
      <c r="K16" s="105">
        <v>24000</v>
      </c>
      <c r="L16" s="105"/>
    </row>
    <row r="17" spans="1:12" ht="15">
      <c r="A17" s="236" t="s">
        <v>327</v>
      </c>
      <c r="B17" s="410" t="s">
        <v>385</v>
      </c>
      <c r="C17" s="98"/>
      <c r="D17" s="98"/>
      <c r="E17" s="98"/>
      <c r="F17" s="98"/>
      <c r="G17" s="98"/>
      <c r="H17" s="412"/>
      <c r="I17" s="105">
        <v>25000</v>
      </c>
      <c r="J17" s="105"/>
      <c r="K17" s="105">
        <v>24000</v>
      </c>
      <c r="L17" s="105"/>
    </row>
    <row r="18" spans="1:12" ht="15">
      <c r="A18" s="240"/>
      <c r="B18" s="410" t="s">
        <v>386</v>
      </c>
      <c r="C18" s="98"/>
      <c r="D18" s="98"/>
      <c r="E18" s="98"/>
      <c r="F18" s="98"/>
      <c r="G18" s="98"/>
      <c r="H18" s="412"/>
      <c r="I18" s="105">
        <v>25000</v>
      </c>
      <c r="J18" s="105"/>
      <c r="K18" s="105">
        <v>24000</v>
      </c>
      <c r="L18" s="105"/>
    </row>
    <row r="19" spans="1:12" ht="15">
      <c r="A19" s="240"/>
      <c r="B19" s="410" t="s">
        <v>387</v>
      </c>
      <c r="C19" s="98"/>
      <c r="D19" s="98"/>
      <c r="E19" s="98"/>
      <c r="F19" s="98"/>
      <c r="G19" s="98"/>
      <c r="H19" s="412"/>
      <c r="I19" s="105">
        <v>25000</v>
      </c>
      <c r="J19" s="105">
        <f>SUM(I16:I19)</f>
        <v>100000</v>
      </c>
      <c r="K19" s="105">
        <v>24000</v>
      </c>
      <c r="L19" s="105">
        <f>SUM(K16:K19)</f>
        <v>96000</v>
      </c>
    </row>
    <row r="20" spans="1:12" ht="15">
      <c r="A20" s="240"/>
      <c r="B20" s="410" t="s">
        <v>388</v>
      </c>
      <c r="C20" s="98"/>
      <c r="D20" s="98"/>
      <c r="E20" s="98"/>
      <c r="F20" s="98"/>
      <c r="G20" s="98"/>
      <c r="H20" s="412"/>
      <c r="I20" s="105">
        <v>25000</v>
      </c>
      <c r="J20" s="105"/>
      <c r="K20" s="105">
        <v>24000</v>
      </c>
      <c r="L20" s="105"/>
    </row>
    <row r="21" spans="1:12" ht="15">
      <c r="A21" s="240"/>
      <c r="B21" s="410" t="s">
        <v>389</v>
      </c>
      <c r="C21" s="98"/>
      <c r="D21" s="98"/>
      <c r="E21" s="98"/>
      <c r="F21" s="98"/>
      <c r="G21" s="98"/>
      <c r="H21" s="412"/>
      <c r="I21" s="105">
        <v>25000</v>
      </c>
      <c r="J21" s="105"/>
      <c r="K21" s="105">
        <v>24000</v>
      </c>
      <c r="L21" s="105"/>
    </row>
    <row r="22" spans="1:12" ht="15">
      <c r="A22" s="240"/>
      <c r="B22" s="410" t="s">
        <v>390</v>
      </c>
      <c r="C22" s="98"/>
      <c r="D22" s="98"/>
      <c r="E22" s="98"/>
      <c r="F22" s="98"/>
      <c r="G22" s="98"/>
      <c r="H22" s="412"/>
      <c r="I22" s="105">
        <v>25000</v>
      </c>
      <c r="J22" s="105"/>
      <c r="K22" s="105">
        <v>24000</v>
      </c>
      <c r="L22" s="105"/>
    </row>
    <row r="23" spans="1:12" ht="15">
      <c r="A23" s="249"/>
      <c r="B23" s="410" t="s">
        <v>391</v>
      </c>
      <c r="C23" s="98"/>
      <c r="D23" s="98"/>
      <c r="E23" s="98"/>
      <c r="F23" s="98"/>
      <c r="G23" s="98"/>
      <c r="H23" s="412"/>
      <c r="I23" s="105">
        <v>25000</v>
      </c>
      <c r="J23" s="105">
        <f>SUM(I20:I23)</f>
        <v>100000</v>
      </c>
      <c r="K23" s="105">
        <v>24000</v>
      </c>
      <c r="L23" s="105">
        <f>SUM(K20:K23)</f>
        <v>96000</v>
      </c>
    </row>
    <row r="24" spans="1:12" ht="15">
      <c r="A24" s="237" t="s">
        <v>330</v>
      </c>
      <c r="B24" s="410" t="s">
        <v>392</v>
      </c>
      <c r="C24" s="98">
        <f>SUM(C13:C17)</f>
        <v>1142418</v>
      </c>
      <c r="D24" s="98">
        <f>SUM(D13:D17)</f>
        <v>536000</v>
      </c>
      <c r="E24" s="98">
        <f>SUM(E13:E17)</f>
        <v>340000</v>
      </c>
      <c r="F24" s="98">
        <f>SUM(F13:F23)</f>
        <v>144000</v>
      </c>
      <c r="G24" s="98">
        <f>SUM(G13:G23)</f>
        <v>48000</v>
      </c>
      <c r="H24" s="412"/>
      <c r="I24"/>
      <c r="J24"/>
      <c r="K24" s="105">
        <v>24000</v>
      </c>
      <c r="L24" s="105"/>
    </row>
    <row r="25" spans="1:12" ht="15">
      <c r="A25" s="237" t="s">
        <v>333</v>
      </c>
      <c r="B25" s="410" t="s">
        <v>393</v>
      </c>
      <c r="C25" s="98">
        <v>6721612</v>
      </c>
      <c r="D25" s="98">
        <f>1!H104</f>
        <v>7277224.54</v>
      </c>
      <c r="E25" s="98">
        <f>6a!D9</f>
        <v>6650000</v>
      </c>
      <c r="F25" s="98">
        <f>6a!E9</f>
        <v>6900000</v>
      </c>
      <c r="G25" s="98">
        <f>6a!F9</f>
        <v>7150000</v>
      </c>
      <c r="H25" s="412"/>
      <c r="I25"/>
      <c r="J25"/>
      <c r="K25" s="105">
        <v>24000</v>
      </c>
      <c r="L25" s="105"/>
    </row>
    <row r="26" spans="1:12" ht="15">
      <c r="A26" s="237" t="s">
        <v>336</v>
      </c>
      <c r="B26" s="410" t="s">
        <v>394</v>
      </c>
      <c r="C26" s="98">
        <f>C24/C25*100</f>
        <v>16.996190794708173</v>
      </c>
      <c r="D26" s="98">
        <f>(D24)/D25*100</f>
        <v>7.3654453982259565</v>
      </c>
      <c r="E26" s="98">
        <f>E24/E25*100</f>
        <v>5.112781954887218</v>
      </c>
      <c r="F26" s="98">
        <f>F24/F25*100</f>
        <v>2.086956521739131</v>
      </c>
      <c r="G26" s="98">
        <f>G24/G25*100</f>
        <v>0.6713286713286714</v>
      </c>
      <c r="H26" s="413"/>
      <c r="I26" s="105"/>
      <c r="J26" s="105"/>
      <c r="K26" s="105">
        <v>24000</v>
      </c>
      <c r="L26" s="105"/>
    </row>
    <row r="27" spans="1:12" ht="12.75">
      <c r="A27" s="227"/>
      <c r="B27" s="227"/>
      <c r="C27" s="227"/>
      <c r="D27" s="227"/>
      <c r="E27" s="227"/>
      <c r="F27" s="227"/>
      <c r="G27" s="227"/>
      <c r="I27" s="105"/>
      <c r="J27" s="105"/>
      <c r="K27" s="105">
        <v>24000</v>
      </c>
      <c r="L27" s="105">
        <f>SUM(K24:K27)</f>
        <v>96000</v>
      </c>
    </row>
    <row r="28" spans="1:12" ht="12.75">
      <c r="A28" s="414"/>
      <c r="B28" s="414"/>
      <c r="C28" s="227"/>
      <c r="D28" s="227"/>
      <c r="E28" s="227"/>
      <c r="F28" s="227"/>
      <c r="G28" s="227"/>
      <c r="I28" s="105"/>
      <c r="J28" s="105"/>
      <c r="K28" s="105">
        <v>24000</v>
      </c>
      <c r="L28" s="105"/>
    </row>
    <row r="29" spans="1:12" ht="15">
      <c r="A29" s="415"/>
      <c r="B29" s="415"/>
      <c r="C29" s="319"/>
      <c r="D29" s="303"/>
      <c r="E29" s="303"/>
      <c r="F29" s="303"/>
      <c r="G29" s="303"/>
      <c r="I29" s="105"/>
      <c r="J29" s="105"/>
      <c r="K29" s="105">
        <v>24000</v>
      </c>
      <c r="L29" s="105">
        <f>SUM(K28:K29)</f>
        <v>48000</v>
      </c>
    </row>
    <row r="30" spans="1:7" ht="15">
      <c r="A30" s="319"/>
      <c r="B30" s="319"/>
      <c r="C30" s="319"/>
      <c r="D30" s="272"/>
      <c r="E30" s="111"/>
      <c r="F30" s="111"/>
      <c r="G30" s="111"/>
    </row>
    <row r="31" spans="1:12" ht="15">
      <c r="A31" s="319"/>
      <c r="B31" s="319"/>
      <c r="C31" s="319"/>
      <c r="D31" s="272"/>
      <c r="E31" s="111"/>
      <c r="F31" s="111"/>
      <c r="G31" s="111"/>
      <c r="I31" s="105">
        <f>SUM(I12:I29)</f>
        <v>320000</v>
      </c>
      <c r="J31" s="105">
        <f>SUM(J14:J30)</f>
        <v>320000</v>
      </c>
      <c r="K31" s="416">
        <f>SUM(K14:K30)</f>
        <v>375447.89</v>
      </c>
      <c r="L31" s="416">
        <f>SUM(L14:L30)</f>
        <v>375447.89</v>
      </c>
    </row>
    <row r="32" spans="1:7" ht="15">
      <c r="A32" s="319"/>
      <c r="B32" s="319"/>
      <c r="C32" s="319"/>
      <c r="D32" s="306"/>
      <c r="E32" s="306"/>
      <c r="F32" s="306"/>
      <c r="G32" s="306"/>
    </row>
    <row r="33" spans="1:6" ht="15">
      <c r="A33" s="319"/>
      <c r="B33" s="319"/>
      <c r="C33" s="319"/>
      <c r="D33" s="306"/>
      <c r="E33" s="306"/>
      <c r="F33" s="306"/>
    </row>
  </sheetData>
  <mergeCells count="8">
    <mergeCell ref="A7:F7"/>
    <mergeCell ref="A9:A11"/>
    <mergeCell ref="B9:B11"/>
    <mergeCell ref="D9:G9"/>
    <mergeCell ref="D10:D11"/>
    <mergeCell ref="E10:E11"/>
    <mergeCell ref="F10:F11"/>
    <mergeCell ref="G10:G11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Słowik</dc:creator>
  <cp:keywords/>
  <dc:description/>
  <cp:lastModifiedBy>UG</cp:lastModifiedBy>
  <cp:lastPrinted>2007-06-12T09:20:39Z</cp:lastPrinted>
  <dcterms:created xsi:type="dcterms:W3CDTF">2001-07-06T09:09:05Z</dcterms:created>
  <dcterms:modified xsi:type="dcterms:W3CDTF">2005-10-04T11:42:33Z</dcterms:modified>
  <cp:category/>
  <cp:version/>
  <cp:contentType/>
  <cp:contentStatus/>
  <cp:revision>1</cp:revision>
</cp:coreProperties>
</file>