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2"/>
  </bookViews>
  <sheets>
    <sheet name="1" sheetId="1" r:id="rId1"/>
    <sheet name="2" sheetId="2" r:id="rId2"/>
    <sheet name="2a" sheetId="3" r:id="rId3"/>
    <sheet name="3" sheetId="4" r:id="rId4"/>
    <sheet name="3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1a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AS</author>
  </authors>
  <commentList>
    <comment ref="E70" authorId="0">
      <text>
        <r>
          <rPr>
            <sz val="10"/>
            <rFont val="Arial CE"/>
            <family val="2"/>
          </rPr>
          <t>666.226
po zm
657.698</t>
        </r>
      </text>
    </comment>
    <comment ref="F70" authorId="0">
      <text>
        <r>
          <rPr>
            <sz val="10"/>
            <rFont val="Arial CE"/>
            <family val="2"/>
          </rPr>
          <t>736.208,-</t>
        </r>
      </text>
    </comment>
  </commentList>
</comments>
</file>

<file path=xl/sharedStrings.xml><?xml version="1.0" encoding="utf-8"?>
<sst xmlns="http://schemas.openxmlformats.org/spreadsheetml/2006/main" count="1144" uniqueCount="542">
  <si>
    <t>Załącznik nr 1 do uchwały nr ....</t>
  </si>
  <si>
    <t>Rady Gminy Kruklanki</t>
  </si>
  <si>
    <t xml:space="preserve">z dnia ... </t>
  </si>
  <si>
    <r>
      <t xml:space="preserve"> </t>
    </r>
    <r>
      <rPr>
        <b/>
        <sz val="14"/>
        <rFont val="Times New Roman"/>
        <family val="1"/>
      </rPr>
      <t>Plan  DOCHODÓW</t>
    </r>
    <r>
      <rPr>
        <sz val="14"/>
        <rFont val="Times New Roman"/>
        <family val="1"/>
      </rPr>
      <t xml:space="preserve"> budżetu Gminy Kruklanki na 2008</t>
    </r>
  </si>
  <si>
    <t>Klasyfikacja</t>
  </si>
  <si>
    <t xml:space="preserve">Wyszczególnienie </t>
  </si>
  <si>
    <t>Przewidywane wykonanie  na 2007</t>
  </si>
  <si>
    <t>Plan na 2008</t>
  </si>
  <si>
    <t>z tego</t>
  </si>
  <si>
    <t>Plan po zmianach</t>
  </si>
  <si>
    <t>Dział</t>
  </si>
  <si>
    <t>Rozdział</t>
  </si>
  <si>
    <t>§</t>
  </si>
  <si>
    <t>bieżące</t>
  </si>
  <si>
    <t>majątkowe</t>
  </si>
  <si>
    <t>010</t>
  </si>
  <si>
    <t>ROLNICTWO I ŁOWIECTWO</t>
  </si>
  <si>
    <t>01036</t>
  </si>
  <si>
    <t>Restrukturyzacja i modernizacja sektora żywnościowego oraz rozwój obszarów wiejskich</t>
  </si>
  <si>
    <t>Środki na dofinansowanie własnych inwestycji gmin, powiatów, samorządów województw, pozyskane z innych źródeł</t>
  </si>
  <si>
    <t>01038</t>
  </si>
  <si>
    <t>Rozwój obszarów wiejskich</t>
  </si>
  <si>
    <t>01095</t>
  </si>
  <si>
    <t>Pozostała działalność</t>
  </si>
  <si>
    <t>2010</t>
  </si>
  <si>
    <t>Dotacje celowe otrzymane z budżetu państwa na realizację zadań bieżących z zakresu admin. rządowej oraz innych ustaw zleconych gminie ustawami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</si>
  <si>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</si>
  <si>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</si>
  <si>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</si>
  <si>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</si>
  <si>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</si>
  <si>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</si>
  <si>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</si>
  <si>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</si>
  <si>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</si>
  <si>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</si>
  <si>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</si>
  <si>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</si>
  <si>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</si>
  <si>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</si>
  <si>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</si>
  <si>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0910</t>
  </si>
  <si>
    <t>Odsetki od nieterminowych wpłat z tytułu podatków i opłat</t>
  </si>
  <si>
    <t>710</t>
  </si>
  <si>
    <t>DZIAŁALNOŚĆ USŁUGOWA</t>
  </si>
  <si>
    <t xml:space="preserve"> 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</si>
  <si>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</si>
  <si>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</si>
  <si>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</si>
  <si>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</si>
  <si>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</si>
  <si>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</si>
  <si>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</si>
  <si>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</si>
  <si>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</si>
  <si>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</si>
  <si>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</si>
  <si>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</si>
  <si>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</si>
  <si>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</si>
  <si>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BEZPIECZEŃSTWO  PUBLICZNE  I  OCHRONA  PRZECIWPOŻAROWA</t>
  </si>
  <si>
    <t>Ochotnicze straże pożarne</t>
  </si>
  <si>
    <t>Dotacje celowe otrzymane na inwestycje i zakupy inwestycyjne realizowane na podstawie porozumień (umów) między jednostkami samorządu terytorialnego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</si>
  <si>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</si>
  <si>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</si>
  <si>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</si>
  <si>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</si>
  <si>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</si>
  <si>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</si>
  <si>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</si>
  <si>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</si>
  <si>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</si>
  <si>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</si>
  <si>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</si>
  <si>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</si>
  <si>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</si>
  <si>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</si>
  <si>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</si>
  <si>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</si>
  <si>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</si>
  <si>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</si>
  <si>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0500</t>
  </si>
  <si>
    <t>Podatek od czynności cywilno prawnych</t>
  </si>
  <si>
    <t>0690</t>
  </si>
  <si>
    <t>Wpływy z różnych opłat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</si>
  <si>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</si>
  <si>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</si>
  <si>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</si>
  <si>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</si>
  <si>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</si>
  <si>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</si>
  <si>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</si>
  <si>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</si>
  <si>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0450</t>
  </si>
  <si>
    <t>Wpływy z opłaty administracyjnej za czynności urzędowe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</si>
  <si>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</si>
  <si>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</si>
  <si>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</si>
  <si>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</si>
  <si>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</si>
  <si>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</si>
  <si>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</si>
  <si>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</si>
  <si>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</si>
  <si>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</si>
  <si>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</si>
  <si>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</si>
  <si>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</si>
  <si>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</si>
  <si>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</si>
  <si>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</si>
  <si>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</si>
  <si>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</si>
  <si>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</si>
  <si>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</si>
  <si>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</si>
  <si>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</si>
  <si>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</si>
  <si>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</si>
  <si>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</si>
  <si>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</si>
  <si>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gmin.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</si>
  <si>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</si>
  <si>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</si>
  <si>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</si>
  <si>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</si>
  <si>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</si>
  <si>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</si>
  <si>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</si>
  <si>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</si>
  <si>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</si>
  <si>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</si>
  <si>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</si>
  <si>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</si>
  <si>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</si>
  <si>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</si>
  <si>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85219</t>
  </si>
  <si>
    <t>Ośrodki pomocy społecznej</t>
  </si>
  <si>
    <t>85278</t>
  </si>
  <si>
    <t>Usuwanie skutków klęsk żywiołowych</t>
  </si>
  <si>
    <t>EDUKACYJNA OPIEKA WYCHOWAWCZA</t>
  </si>
  <si>
    <t>Pomoc materialna dla uczniów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</si>
  <si>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</si>
  <si>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</si>
  <si>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</si>
  <si>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</si>
  <si>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</si>
  <si>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</si>
  <si>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DOCHODY OGÓŁEM</t>
  </si>
  <si>
    <t>Załącznik nr 2 do uchwały nr ...</t>
  </si>
  <si>
    <t>z dnia ...</t>
  </si>
  <si>
    <r>
      <t xml:space="preserve"> Plan</t>
    </r>
    <r>
      <rPr>
        <b/>
        <sz val="14"/>
        <rFont val="Times New Roman"/>
        <family val="1"/>
      </rPr>
      <t xml:space="preserve"> WYDATKÓW</t>
    </r>
    <r>
      <rPr>
        <sz val="14"/>
        <rFont val="Times New Roman"/>
        <family val="1"/>
      </rPr>
      <t xml:space="preserve"> budżetu Gminy Kruklanki na 2008</t>
    </r>
  </si>
  <si>
    <t>Nazwa</t>
  </si>
  <si>
    <t>Przewidywane wykonanie za 2007 r.</t>
  </si>
  <si>
    <t>Plan
na 2008 r.</t>
  </si>
  <si>
    <t>w tym:</t>
  </si>
  <si>
    <t>Wydatki bieżące</t>
  </si>
  <si>
    <t>z tego:</t>
  </si>
  <si>
    <t>Wydatki majątkowe</t>
  </si>
  <si>
    <t>Wynagrodzenia i pochodne od wynagrodzeń</t>
  </si>
  <si>
    <t>Dotacje</t>
  </si>
  <si>
    <t>Wydatki na obsługę długu</t>
  </si>
  <si>
    <t>Wydatki
z tytułu poręczeń
i gwarancji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</si>
  <si>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</si>
  <si>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</si>
  <si>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</si>
  <si>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</si>
  <si>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</si>
  <si>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</si>
  <si>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Wynagrodzenia bezosobowe</t>
  </si>
  <si>
    <t>Zakup materiałów i wyposażenia</t>
  </si>
  <si>
    <t>Różne opłaty i składki</t>
  </si>
  <si>
    <t>400</t>
  </si>
  <si>
    <t>WYTWARZANIE I ZAOPATRYWANIE W ENERGIĘ ELEKTRYCZNĄ, GAZ I WODĘ</t>
  </si>
  <si>
    <t>40002</t>
  </si>
  <si>
    <t>Dostarczanie wody</t>
  </si>
  <si>
    <t>Zakup usług pozostałych</t>
  </si>
  <si>
    <t>TRANSPORT I ŁĄCZNOŚĆ</t>
  </si>
  <si>
    <t>60016</t>
  </si>
  <si>
    <t>Drogi publiczne gminne</t>
  </si>
  <si>
    <t>TURYSTYKA</t>
  </si>
  <si>
    <t>63003</t>
  </si>
  <si>
    <t>Zadania w zakresie upowszechniania turystyki</t>
  </si>
  <si>
    <t>Dotacje celowe na zadania bieżące</t>
  </si>
  <si>
    <t>Wynagrodzenia osobowe pracowników</t>
  </si>
  <si>
    <t>Wynagrodzenia agencyjno-prowizyjne</t>
  </si>
  <si>
    <t>Składki na ubezpieczenia społeczne</t>
  </si>
  <si>
    <t>Składki na Fundusz Pracy</t>
  </si>
  <si>
    <t>Zakup pozostałych usług</t>
  </si>
  <si>
    <t>Odpisy na zakładowy fundusz świadczeń socjalnych</t>
  </si>
  <si>
    <t xml:space="preserve">Zakup pozostałych usług </t>
  </si>
  <si>
    <t>ADMINISTRACJA PUBLICZNA</t>
  </si>
  <si>
    <t>Dodatkowe wynagrodzenie roczne</t>
  </si>
  <si>
    <t xml:space="preserve">Rady gmin (miast i miast na prawach powiatu) </t>
  </si>
  <si>
    <t>Różne wydatki na rzecz osób fizycznych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</si>
  <si>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</si>
  <si>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</si>
  <si>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</si>
  <si>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</si>
  <si>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</si>
  <si>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>Zakup usług dostępu do sieci Internet</t>
  </si>
  <si>
    <t>Opłaty z tytułu zakupu usług komunikacyjnych telefonii komórkowej</t>
  </si>
  <si>
    <t>Opłaty z tytułu zakupu usług komunikacyjnych telefonii stacjonarnej</t>
  </si>
  <si>
    <t>Szkolenia pracowników nie będących członkami korpusu służby cywilnej</t>
  </si>
  <si>
    <t>Zakup materiałów papierniczych do do sprzętu drukarskiego i urządzeń kserograficznych</t>
  </si>
  <si>
    <t>Zakup akcesoriów komputerowych, w tym programów i licencji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</si>
  <si>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</si>
  <si>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</si>
  <si>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Zarządzanie kryzysowe</t>
  </si>
  <si>
    <t xml:space="preserve">Rezerwy  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</si>
  <si>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</si>
  <si>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</si>
  <si>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</si>
  <si>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</si>
  <si>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</si>
  <si>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>Dodatkowe wynagrodzenia roczne</t>
  </si>
  <si>
    <t>Zakup pomocy naukowych, dydaktycznych i książek</t>
  </si>
  <si>
    <t>Usługi materialne</t>
  </si>
  <si>
    <t>Zakup usług zdrowotnych</t>
  </si>
  <si>
    <t>Przedszkola</t>
  </si>
  <si>
    <t>Gimnazja</t>
  </si>
  <si>
    <t>Dowożenie uczniów do szkół</t>
  </si>
  <si>
    <t>Dokształcanie i doskonalenie nauczycieli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</si>
  <si>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</si>
  <si>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</si>
  <si>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</si>
  <si>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</si>
  <si>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</si>
  <si>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</si>
  <si>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</si>
  <si>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Inne formy pomocy dla uczniów</t>
  </si>
  <si>
    <t>Oczyszczanie miast i wsi</t>
  </si>
  <si>
    <t>Utrzymanie zieleni w miastach i gminach</t>
  </si>
  <si>
    <t>Oświetlenie ulic</t>
  </si>
  <si>
    <t>Wpływy i wydatki związane z gromadzeniem środków z opłat i kar za korzystanie ze środowiska</t>
  </si>
  <si>
    <t>Wpłaty na P F R O N</t>
  </si>
  <si>
    <t>Różne opłaty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</si>
  <si>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</si>
  <si>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</si>
  <si>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</si>
  <si>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</si>
  <si>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</si>
  <si>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Dotacja celowa z budżetu na finansowanie lub dofinansowanie zadań zleconych do realizacji stowarzyszeniom</t>
  </si>
  <si>
    <t>OGÓŁEM WYDATKI</t>
  </si>
  <si>
    <t>a) wydatki bieżące, w tym:</t>
  </si>
  <si>
    <t>- wynagrodzenia i pochodne od wynagrodzeń,</t>
  </si>
  <si>
    <t>- dotacje,</t>
  </si>
  <si>
    <t>- na obsługę długu j.s.t.,</t>
  </si>
  <si>
    <t>b) wydatki majątkowe, w tym:</t>
  </si>
  <si>
    <t>- wydatki inwestycyjne (6050)</t>
  </si>
  <si>
    <t>- wydatki inwestycyjne (6058)</t>
  </si>
  <si>
    <t>- wydatki inwestycyjne (6059)</t>
  </si>
  <si>
    <t>OŚWIATA' 2007</t>
  </si>
  <si>
    <t>Przewidywane wykonanie na 2007</t>
  </si>
  <si>
    <t>Zmiana</t>
  </si>
  <si>
    <t>Szkoły podstawowe - Kruklanki</t>
  </si>
  <si>
    <t>Szkoły podstawowe - Boćwinka</t>
  </si>
  <si>
    <t>Przedszkola przy szkołach podstawowych Kruklanki</t>
  </si>
  <si>
    <t>Przedszkola przy szkołach podstawowych Boćwinka</t>
  </si>
  <si>
    <t>Inne formy pomocy dla uczniów – UG</t>
  </si>
  <si>
    <t>Inne formy pomocy dla uczniów – SP Kruklanki</t>
  </si>
  <si>
    <t>Inne formy pomocy dla uczniów – SP Bocwinka</t>
  </si>
  <si>
    <t>Inne formy pomocy dla uczniów – Gimnazjum</t>
  </si>
  <si>
    <t>Załącznik nr 3 do uchwały nr ...</t>
  </si>
  <si>
    <t>Limity wydatków na wieloletnie programy inwestycyjne w latach 2008 – 2010</t>
  </si>
  <si>
    <t>(zł.)</t>
  </si>
  <si>
    <t>Planowane nakłady</t>
  </si>
  <si>
    <t>jednostka</t>
  </si>
  <si>
    <t>Nazwa zadania</t>
  </si>
  <si>
    <t>Łączne</t>
  </si>
  <si>
    <t>rok</t>
  </si>
  <si>
    <t>w tym źródła finansowania</t>
  </si>
  <si>
    <t>organizacyjna</t>
  </si>
  <si>
    <t>lp.</t>
  </si>
  <si>
    <t>inwestycyjnego</t>
  </si>
  <si>
    <t>koszty</t>
  </si>
  <si>
    <t>Budżetowy 2008</t>
  </si>
  <si>
    <t>dochody</t>
  </si>
  <si>
    <t>kredyty</t>
  </si>
  <si>
    <t>środki pochodzące</t>
  </si>
  <si>
    <t>środki wymienione</t>
  </si>
  <si>
    <t>realizująca zadanie lub</t>
  </si>
  <si>
    <t>i okres realizacji w latach</t>
  </si>
  <si>
    <t>finansowe</t>
  </si>
  <si>
    <t>(8+9+10+11)</t>
  </si>
  <si>
    <t>własne</t>
  </si>
  <si>
    <t>i pożyczki</t>
  </si>
  <si>
    <t>z innych źródeł</t>
  </si>
  <si>
    <t>w art. 5 ust. 1 pkt2 i 3 u.f.p.</t>
  </si>
  <si>
    <t>koordynująca program</t>
  </si>
  <si>
    <t>6050</t>
  </si>
  <si>
    <t>Budowa sieci kanalizacyjnej w m. Brożówka,Jeziorowskie i Jasieniec</t>
  </si>
  <si>
    <t>Urząd Gminy Kruklanki</t>
  </si>
  <si>
    <t>600</t>
  </si>
  <si>
    <t>Przebudowa dróg powiatowych 40133 i 40144 i ulic gminnych: Borecka, Lipowa i Wodna w  m. Kruklanki</t>
  </si>
  <si>
    <t>801</t>
  </si>
  <si>
    <t>80110</t>
  </si>
  <si>
    <t>Modernizacja sali gimnastycznej w m. Kruklanki</t>
  </si>
  <si>
    <t>Gimnazjum w Kruklankach</t>
  </si>
  <si>
    <t>90095</t>
  </si>
  <si>
    <t>Budowa budynku socjalnego</t>
  </si>
  <si>
    <t>Budowa zakładu unieszkodliwiania odpadów</t>
  </si>
  <si>
    <t>RAZEM</t>
  </si>
  <si>
    <t>Załącznik nr 3a do uchwały nr ...</t>
  </si>
  <si>
    <t>Zadania inwestycyjne w 2008</t>
  </si>
  <si>
    <r>
      <t>Uzbrojenie działek budowlanych w infrastrukturę techniczną</t>
    </r>
    <r>
      <rPr>
        <sz val="8"/>
        <rFont val="Arial CE"/>
        <family val="2"/>
      </rPr>
      <t xml:space="preserve"> (wodociąg, kanalizacja)</t>
    </r>
  </si>
  <si>
    <t>605(8,9)</t>
  </si>
  <si>
    <t>Sieć wodociągowa Kruklanki – Żywki Małe</t>
  </si>
  <si>
    <t>Termomodernizacja budynku Urzędu Gminy w Kruklankach</t>
  </si>
  <si>
    <t>Rozbudowa i modernizacja GOZ w Kruklankach</t>
  </si>
  <si>
    <t>Modernizacja budynku GOK w Kruklankach</t>
  </si>
  <si>
    <t>Modernizacja drogi Brożówka – Żywki Małe</t>
  </si>
  <si>
    <t>Wykup gruntów</t>
  </si>
  <si>
    <t>75023</t>
  </si>
  <si>
    <t>Zakup sprzętu komputerowego</t>
  </si>
  <si>
    <t>90015</t>
  </si>
  <si>
    <t>Budowa oświetlenia ulicznego na ul. Spacerowej</t>
  </si>
  <si>
    <t>Modernizacja przystanku komunikacji publicznej</t>
  </si>
  <si>
    <t>Załącznik Nr 4 do uchwały nr ...</t>
  </si>
  <si>
    <t>Wydatki* na programy i projekty ze środków funduszy strukturalnych i Funduszu Spójności</t>
  </si>
  <si>
    <t>L.p.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</si>
  <si>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</si>
  <si>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</si>
  <si>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</si>
  <si>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</si>
  <si>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Planowane wydatki</t>
  </si>
  <si>
    <t>Środki z budżetu krajowego</t>
  </si>
  <si>
    <t>Środki z budżetu UE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</si>
  <si>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</si>
  <si>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</si>
  <si>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</si>
  <si>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</si>
  <si>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</si>
  <si>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</si>
  <si>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</si>
  <si>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</si>
  <si>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</si>
  <si>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</si>
  <si>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</si>
  <si>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</si>
  <si>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</si>
  <si>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</si>
  <si>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Program operacyjny infrastruktura i środowisko</t>
  </si>
  <si>
    <t>Priorytet:</t>
  </si>
  <si>
    <t>Infrastruktura i środowisko</t>
  </si>
  <si>
    <t>Działanie:</t>
  </si>
  <si>
    <t>Gospodarka wodno-ściekowa</t>
  </si>
  <si>
    <t>Nazwa projektu:</t>
  </si>
  <si>
    <t>Budowa sieci kanalizacyjnej w m. Brożówka, Jeziorowskie i Jasieniec</t>
  </si>
  <si>
    <t>Razem wydatki:</t>
  </si>
  <si>
    <t>010, 01010, 6050</t>
  </si>
  <si>
    <t>z tego: 2008</t>
  </si>
  <si>
    <t>1.2</t>
  </si>
  <si>
    <t>Program Rozwoju Obszarów Wiejskich</t>
  </si>
  <si>
    <t>Jakość życia na obszarach wiejskich i różnicowanie gospodarki wiejskiej</t>
  </si>
  <si>
    <t>Podstawowe usługi dla gospodarki i ludności wiejskiej</t>
  </si>
  <si>
    <t>1.3</t>
  </si>
  <si>
    <t>1.4</t>
  </si>
  <si>
    <t>Rozbudowa i modernizacja budynku GOZ w Kruklankach</t>
  </si>
  <si>
    <t>1.5</t>
  </si>
  <si>
    <t>1.6</t>
  </si>
  <si>
    <t>ZPORR</t>
  </si>
  <si>
    <t>3.1</t>
  </si>
  <si>
    <t>Przebudowa dróg powiatowych 40133 i 40144 i ulic gminnych: Borecka, Lipowa i  Wodna w m. Kruklanki</t>
  </si>
  <si>
    <t>600, 60016, 6050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</si>
  <si>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</si>
  <si>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</si>
  <si>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</si>
  <si>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Załącznik nr 5 do uchwały nr ...</t>
  </si>
  <si>
    <t>z dnia ....</t>
  </si>
  <si>
    <t>Źródła sfinansowania deficytu lub rozdysponowanie nadwyżki budżetowej</t>
  </si>
  <si>
    <t>w 2008r. - przychody i rozchody budżetu</t>
  </si>
  <si>
    <t>Lp.</t>
  </si>
  <si>
    <t>T r e ś ć</t>
  </si>
  <si>
    <r>
      <t xml:space="preserve">Klasyfikacja </t>
    </r>
    <r>
      <rPr>
        <sz val="10"/>
        <rFont val="Arial"/>
        <family val="2"/>
      </rPr>
      <t>§</t>
    </r>
  </si>
  <si>
    <t>Kwota</t>
  </si>
  <si>
    <t>Plan na 2007</t>
  </si>
  <si>
    <t>Przewidywane wykonanie 2007</t>
  </si>
  <si>
    <t>1.</t>
  </si>
  <si>
    <t>Planowane dochody</t>
  </si>
  <si>
    <t>2.</t>
  </si>
  <si>
    <t xml:space="preserve">Nadwyżka </t>
  </si>
  <si>
    <t>Deficyt</t>
  </si>
  <si>
    <t>I.</t>
  </si>
  <si>
    <t>Finansowanie (przychody – rozchody)</t>
  </si>
  <si>
    <t>Przychody ogółem:</t>
  </si>
  <si>
    <t>Kredyty</t>
  </si>
  <si>
    <t xml:space="preserve"> § 952</t>
  </si>
  <si>
    <t>Pożyczki</t>
  </si>
  <si>
    <t>3.</t>
  </si>
  <si>
    <t>Pożyczki na finansowanie zadań realizowanych z udziałem środków pochodzących z budżetu U.E.</t>
  </si>
  <si>
    <t xml:space="preserve"> § 903</t>
  </si>
  <si>
    <t>4.</t>
  </si>
  <si>
    <t>Spłata pożyczek udzielonych</t>
  </si>
  <si>
    <t xml:space="preserve"> § 951</t>
  </si>
  <si>
    <t>5.</t>
  </si>
  <si>
    <t>Prywatyzacja majątku j.s.t.</t>
  </si>
  <si>
    <t>§ 941 do 944</t>
  </si>
  <si>
    <t>6.</t>
  </si>
  <si>
    <t>Nadwyżka budżetu z lat ubiegłych</t>
  </si>
  <si>
    <t xml:space="preserve"> § 957</t>
  </si>
  <si>
    <t>7.</t>
  </si>
  <si>
    <t>Obligacje skarbowe</t>
  </si>
  <si>
    <t xml:space="preserve"> § 911</t>
  </si>
  <si>
    <t>8.</t>
  </si>
  <si>
    <t>Inne papiery wartościowe</t>
  </si>
  <si>
    <t xml:space="preserve"> § 931</t>
  </si>
  <si>
    <t>9.</t>
  </si>
  <si>
    <t>Inne źródła (wolne środki)</t>
  </si>
  <si>
    <t xml:space="preserve"> § 955</t>
  </si>
  <si>
    <t>Rozchody ogółem</t>
  </si>
  <si>
    <t>Spłaty kredytów</t>
  </si>
  <si>
    <t xml:space="preserve"> § 992</t>
  </si>
  <si>
    <t>Spłaty pożyczek</t>
  </si>
  <si>
    <t>Spłaty pożyczek otrzymanych na finansowanie zadań realizowanych z udziałem środków pochodzących z budżetu U.E.</t>
  </si>
  <si>
    <t>Udzielone pożyczki</t>
  </si>
  <si>
    <t xml:space="preserve"> § 963</t>
  </si>
  <si>
    <t>Lokaty</t>
  </si>
  <si>
    <t xml:space="preserve"> § 994</t>
  </si>
  <si>
    <t>Wykup papierów wartościowych</t>
  </si>
  <si>
    <t xml:space="preserve"> § 982</t>
  </si>
  <si>
    <t>Wykup obligacji</t>
  </si>
  <si>
    <t xml:space="preserve"> § 971</t>
  </si>
  <si>
    <t>Rozchody z tytułu innych rozliczeń</t>
  </si>
  <si>
    <t xml:space="preserve"> § 995</t>
  </si>
  <si>
    <t>Załącznik nr 6 do uchwały nr ...</t>
  </si>
  <si>
    <t>Dochody i wydatki związane z realizacją zadań z zakresu administracji rządowej</t>
  </si>
  <si>
    <t>i innych zadań zleconych odrębnymi ustawami na 2008</t>
  </si>
  <si>
    <t>dział</t>
  </si>
  <si>
    <t>rozdział</t>
  </si>
  <si>
    <t>dotacje ogółem</t>
  </si>
  <si>
    <t>wydatki ogółem (6+10)</t>
  </si>
  <si>
    <t>wydatki bieżące</t>
  </si>
  <si>
    <t>wydatki majątkowe</t>
  </si>
  <si>
    <t>wynagrodzenia</t>
  </si>
  <si>
    <t>pochodne od wynagrodzeń</t>
  </si>
  <si>
    <t>świadczenia społeczne</t>
  </si>
  <si>
    <t xml:space="preserve">R A Z E M </t>
  </si>
  <si>
    <t>Załącznik Nr 7 do uchwały nr ...</t>
  </si>
  <si>
    <t xml:space="preserve"> z dnia ...</t>
  </si>
  <si>
    <t>Dochody i wydatki związane z realizacją zadań realizowanych na podstawie</t>
  </si>
  <si>
    <t xml:space="preserve"> porozumień (umów) między jednostkami samorządu terytorialnego w 2008</t>
  </si>
  <si>
    <t>(w złotych)</t>
  </si>
  <si>
    <t>dotacje</t>
  </si>
  <si>
    <t>Załącznik nr 8 do uchwały nr ...</t>
  </si>
  <si>
    <t>Dotacje podmiotowe w 2007r.</t>
  </si>
  <si>
    <t>Nazwa instytucji</t>
  </si>
  <si>
    <t>92109</t>
  </si>
  <si>
    <t>Gminny Ośrodek Kultury</t>
  </si>
  <si>
    <t>92116</t>
  </si>
  <si>
    <t>Gminna Biblioteka Publiczna</t>
  </si>
  <si>
    <t>Ogółem</t>
  </si>
  <si>
    <t xml:space="preserve">Załącznik nr 9 do uchwały nr ... </t>
  </si>
  <si>
    <t>Dotacje celowe na zadania własne gminy realizowane przez podmioty należące i nienależące do sektora finansów publicznych w 2008</t>
  </si>
  <si>
    <t>Kwota dotacji</t>
  </si>
  <si>
    <t>92695</t>
  </si>
  <si>
    <t>Realizacja zadań z zakresu kultury fizycznej i sportu</t>
  </si>
  <si>
    <t xml:space="preserve">     a) piłka nożna dzieci i młodzieży;</t>
  </si>
  <si>
    <t xml:space="preserve">     b) tenis stołowy dzieci, młodzieży i dorosłych;</t>
  </si>
  <si>
    <t xml:space="preserve">     c) organizacja innych form aktywnego spędzania wolnego czasu przez mieszkańców gminy.</t>
  </si>
  <si>
    <t>Razem</t>
  </si>
  <si>
    <t>Załącznik Nr 10 do uchwały nr ...</t>
  </si>
  <si>
    <t xml:space="preserve">Plan przychodów i wydatków </t>
  </si>
  <si>
    <t>Gminnego Funduszu Ochrony Środowiska i Gospodarki Wodnej</t>
  </si>
  <si>
    <t>W 2008</t>
  </si>
  <si>
    <t>Wyszczególnienie</t>
  </si>
  <si>
    <t>Stan funduszy na początek roku</t>
  </si>
  <si>
    <t>II.</t>
  </si>
  <si>
    <t>Przychody</t>
  </si>
  <si>
    <t>§  2960   -  Przelewy redystrybucyjne</t>
  </si>
  <si>
    <t>III.</t>
  </si>
  <si>
    <t>Wydatki</t>
  </si>
  <si>
    <t>§ 4410  - Podróże służbowe krajowe</t>
  </si>
  <si>
    <t>§ 4170  - Wynagrodzenia bezosobowe</t>
  </si>
  <si>
    <t>§ 4210  - Materiały i wyposażenie</t>
  </si>
  <si>
    <t>§ 4300  - Zakup usług pozostałych</t>
  </si>
  <si>
    <t>IV.</t>
  </si>
  <si>
    <t>Stan funduszy na koniec roku</t>
  </si>
  <si>
    <t>Załącznik Nr 11 do uchwały nr ...</t>
  </si>
  <si>
    <t>Prognoza kwoty długu gminy na 2007 i lata następne</t>
  </si>
  <si>
    <t>Rodzaj zadłużenia</t>
  </si>
  <si>
    <t>Wykonanie</t>
  </si>
  <si>
    <t>Przewidywany stan na koniec roku</t>
  </si>
  <si>
    <t>na koniec</t>
  </si>
  <si>
    <t>31.12.2007</t>
  </si>
  <si>
    <t>BOŚ</t>
  </si>
  <si>
    <t>Wyemitowane papiery wartościowe</t>
  </si>
  <si>
    <t>WFOŚiGW</t>
  </si>
  <si>
    <t>Przyjęte depozyty</t>
  </si>
  <si>
    <t>Wymagalne zobowiązania:</t>
  </si>
  <si>
    <t>1) jednostek budżetowych</t>
  </si>
  <si>
    <t>2) wynikające z:</t>
  </si>
  <si>
    <t xml:space="preserve">    a) ustaw,</t>
  </si>
  <si>
    <t xml:space="preserve">    b) orzeczeń sądu,</t>
  </si>
  <si>
    <t xml:space="preserve">    c) udzielonych poręczeń i gwarancji</t>
  </si>
  <si>
    <t xml:space="preserve">    d) innych ustaw,</t>
  </si>
  <si>
    <t>Łączna kwota długu na koniec roku budżetowego</t>
  </si>
  <si>
    <t>Dochody ogółem</t>
  </si>
  <si>
    <t>% udział długu j.s.t. w dochodach na koniec roku</t>
  </si>
  <si>
    <t>Załącznik nr 11a do uchwały nr ...</t>
  </si>
  <si>
    <t>Prognozowana sytuacja finansowa gminy w latach spłaty długu</t>
  </si>
  <si>
    <t>(w zł)</t>
  </si>
  <si>
    <t>lata spłaty kredytu/pożyczki</t>
  </si>
  <si>
    <t>I</t>
  </si>
  <si>
    <r>
      <t xml:space="preserve">Dochody ogółem: </t>
    </r>
    <r>
      <rPr>
        <b/>
        <i/>
        <sz val="10"/>
        <rFont val="Arial CE"/>
        <family val="2"/>
      </rPr>
      <t>(A+B+C)</t>
    </r>
  </si>
  <si>
    <t>A</t>
  </si>
  <si>
    <t>Dochody własne w tym:</t>
  </si>
  <si>
    <t xml:space="preserve">    z podatków i opłat lokalnych</t>
  </si>
  <si>
    <t xml:space="preserve">    z majątku gminy</t>
  </si>
  <si>
    <t xml:space="preserve">    z udziału w podatkach stanowiących dochód budżetu państwa</t>
  </si>
  <si>
    <t>B</t>
  </si>
  <si>
    <t>Subwencje</t>
  </si>
  <si>
    <t>C</t>
  </si>
  <si>
    <t>Dotacje celowe</t>
  </si>
  <si>
    <t>D</t>
  </si>
  <si>
    <t>Dotacje na zadania własne</t>
  </si>
  <si>
    <t>E</t>
  </si>
  <si>
    <t>Środki pozyskane z innych żródeł</t>
  </si>
  <si>
    <t>II</t>
  </si>
  <si>
    <t>Wydatki ogółem</t>
  </si>
  <si>
    <t>III</t>
  </si>
  <si>
    <t>Spłaty pożyczek i kredytów</t>
  </si>
  <si>
    <t>Spłata zaciągniętych pożyczek, kredytów, w tym:</t>
  </si>
  <si>
    <t>spłata rat pożyczek, kredytów krajowych</t>
  </si>
  <si>
    <t>spłata pożyczek i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</si>
  <si>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</si>
  <si>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</si>
  <si>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</si>
  <si>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Wartość wykupionych papierów wartościowych i dyskonto</t>
  </si>
  <si>
    <t>IV</t>
  </si>
  <si>
    <t>Wynik ( I - II )</t>
  </si>
  <si>
    <t>V</t>
  </si>
  <si>
    <t>Planowana, łączna kwota długu, w tym:</t>
  </si>
  <si>
    <t>Dług zaciągnięty w związku ze środkami określonymi w umowie zawartej z podmiotem dysponującym funduszami strukturalnymi lub F.S.U.E</t>
  </si>
  <si>
    <t>VI.1.</t>
  </si>
  <si>
    <t>Dług / dochody (%) (art.170 ust.1 u.f.p.)</t>
  </si>
  <si>
    <t>VI.2.</t>
  </si>
  <si>
    <t>Spłaty rat i odsetek/dochody (%) (atr.169 ust.1 u.f.p.)</t>
  </si>
  <si>
    <t>VII.1.</t>
  </si>
  <si>
    <t>Dług / dochody (%) (art.170 ust.3 u.f.p.)</t>
  </si>
  <si>
    <t>VII.2.</t>
  </si>
  <si>
    <t>Spłaty rat i odsetek/dochody (%) (atr.169 ust.3 u.f.p.)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</si>
</sst>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%"/>
    <numFmt numFmtId="168" formatCode="#,##0"/>
    <numFmt numFmtId="169" formatCode="#,##0.0000"/>
    <numFmt numFmtId="170" formatCode="#,##0_ ;\-#,##0."/>
  </numFmts>
  <fonts count="40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 CE"/>
      <family val="2"/>
    </font>
    <font>
      <sz val="10"/>
      <color indexed="18"/>
      <name val="Arial CE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u val="single"/>
      <sz val="11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name val="Arial CE"/>
      <family val="2"/>
    </font>
    <font>
      <i/>
      <sz val="11"/>
      <name val="Times New Roman CE"/>
      <family val="1"/>
    </font>
    <font>
      <sz val="10"/>
      <name val="Tahoma"/>
      <family val="2"/>
    </font>
    <font>
      <b/>
      <sz val="8"/>
      <name val="Arial"/>
      <family val="2"/>
    </font>
    <font>
      <sz val="6"/>
      <name val="Arial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0" borderId="0">
      <alignment/>
      <protection/>
    </xf>
  </cellStyleXfs>
  <cellXfs count="500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19" applyNumberFormat="1" applyFont="1" applyFill="1" applyBorder="1" applyAlignment="1" applyProtection="1">
      <alignment vertical="center"/>
      <protection/>
    </xf>
    <xf numFmtId="166" fontId="0" fillId="0" borderId="1" xfId="0" applyNumberFormat="1" applyFont="1" applyBorder="1" applyAlignment="1">
      <alignment horizontal="right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6" fontId="8" fillId="0" borderId="1" xfId="19" applyNumberFormat="1" applyFont="1" applyFill="1" applyBorder="1" applyAlignment="1" applyProtection="1">
      <alignment horizontal="right" vertical="center"/>
      <protection/>
    </xf>
    <xf numFmtId="165" fontId="8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horizontal="right" vertical="center"/>
    </xf>
    <xf numFmtId="165" fontId="0" fillId="0" borderId="7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vertical="center"/>
    </xf>
    <xf numFmtId="164" fontId="10" fillId="0" borderId="1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4" fontId="7" fillId="0" borderId="4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vertical="center"/>
    </xf>
    <xf numFmtId="164" fontId="7" fillId="0" borderId="4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0" fillId="0" borderId="4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horizontal="right" vertical="center"/>
    </xf>
    <xf numFmtId="164" fontId="8" fillId="0" borderId="8" xfId="0" applyFont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11" xfId="0" applyFont="1" applyBorder="1" applyAlignment="1">
      <alignment horizontal="left" vertical="center"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9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horizontal="right" vertical="center"/>
    </xf>
    <xf numFmtId="164" fontId="10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vertical="center"/>
    </xf>
    <xf numFmtId="166" fontId="13" fillId="2" borderId="13" xfId="0" applyNumberFormat="1" applyFont="1" applyFill="1" applyBorder="1" applyAlignment="1">
      <alignment horizontal="right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 horizontal="center"/>
    </xf>
    <xf numFmtId="164" fontId="14" fillId="0" borderId="0" xfId="0" applyFont="1" applyAlignment="1">
      <alignment horizontal="right" vertical="center"/>
    </xf>
    <xf numFmtId="164" fontId="5" fillId="0" borderId="0" xfId="0" applyFont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4" fontId="9" fillId="0" borderId="0" xfId="0" applyFont="1" applyAlignment="1">
      <alignment vertical="center"/>
    </xf>
    <xf numFmtId="164" fontId="16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left" vertical="center"/>
    </xf>
    <xf numFmtId="166" fontId="16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/>
    </xf>
    <xf numFmtId="166" fontId="10" fillId="0" borderId="1" xfId="0" applyNumberFormat="1" applyFont="1" applyBorder="1" applyAlignment="1">
      <alignment horizontal="right" vertical="center"/>
    </xf>
    <xf numFmtId="164" fontId="0" fillId="0" borderId="5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16" fillId="0" borderId="5" xfId="0" applyFont="1" applyBorder="1" applyAlignment="1">
      <alignment horizontal="center" vertical="center"/>
    </xf>
    <xf numFmtId="166" fontId="10" fillId="0" borderId="1" xfId="19" applyNumberFormat="1" applyFont="1" applyFill="1" applyBorder="1" applyAlignment="1" applyProtection="1">
      <alignment vertical="center"/>
      <protection/>
    </xf>
    <xf numFmtId="166" fontId="1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horizontal="left" vertical="center"/>
    </xf>
    <xf numFmtId="164" fontId="12" fillId="0" borderId="14" xfId="0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right" vertical="center"/>
    </xf>
    <xf numFmtId="164" fontId="8" fillId="0" borderId="3" xfId="0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6" fontId="18" fillId="0" borderId="1" xfId="0" applyNumberFormat="1" applyFont="1" applyBorder="1" applyAlignment="1">
      <alignment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left" vertical="center"/>
    </xf>
    <xf numFmtId="166" fontId="11" fillId="0" borderId="1" xfId="0" applyNumberFormat="1" applyFont="1" applyBorder="1" applyAlignment="1">
      <alignment horizontal="right" vertical="center"/>
    </xf>
    <xf numFmtId="164" fontId="0" fillId="0" borderId="4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6" fontId="16" fillId="0" borderId="1" xfId="0" applyNumberFormat="1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8" fillId="0" borderId="8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6" fontId="10" fillId="0" borderId="1" xfId="19" applyNumberFormat="1" applyFont="1" applyFill="1" applyBorder="1" applyAlignment="1" applyProtection="1">
      <alignment horizontal="right" vertical="center"/>
      <protection/>
    </xf>
    <xf numFmtId="166" fontId="10" fillId="0" borderId="1" xfId="0" applyNumberFormat="1" applyFont="1" applyFill="1" applyBorder="1" applyAlignment="1" applyProtection="1">
      <alignment horizontal="right" vertical="center"/>
      <protection/>
    </xf>
    <xf numFmtId="166" fontId="1" fillId="0" borderId="1" xfId="19" applyNumberFormat="1" applyFont="1" applyFill="1" applyBorder="1" applyAlignment="1" applyProtection="1">
      <alignment horizontal="right" vertical="center"/>
      <protection/>
    </xf>
    <xf numFmtId="164" fontId="0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6" fontId="16" fillId="0" borderId="1" xfId="19" applyNumberFormat="1" applyFont="1" applyFill="1" applyBorder="1" applyAlignment="1" applyProtection="1">
      <alignment vertical="center"/>
      <protection/>
    </xf>
    <xf numFmtId="164" fontId="0" fillId="0" borderId="1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6" fontId="17" fillId="0" borderId="1" xfId="19" applyNumberFormat="1" applyFont="1" applyFill="1" applyBorder="1" applyAlignment="1" applyProtection="1">
      <alignment horizontal="right" vertical="center"/>
      <protection/>
    </xf>
    <xf numFmtId="166" fontId="17" fillId="0" borderId="1" xfId="0" applyNumberFormat="1" applyFont="1" applyFill="1" applyBorder="1" applyAlignment="1" applyProtection="1">
      <alignment horizontal="right" vertical="center"/>
      <protection/>
    </xf>
    <xf numFmtId="164" fontId="12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7" fillId="0" borderId="3" xfId="0" applyFont="1" applyBorder="1" applyAlignment="1">
      <alignment vertical="center"/>
    </xf>
    <xf numFmtId="164" fontId="8" fillId="0" borderId="1" xfId="0" applyFont="1" applyFill="1" applyBorder="1" applyAlignment="1" applyProtection="1">
      <alignment horizontal="left" vertical="center" wrapText="1"/>
      <protection locked="0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8" fillId="0" borderId="1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165" fontId="0" fillId="0" borderId="9" xfId="0" applyNumberFormat="1" applyFont="1" applyBorder="1" applyAlignment="1">
      <alignment horizontal="center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8" fillId="0" borderId="6" xfId="0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 wrapText="1"/>
    </xf>
    <xf numFmtId="164" fontId="8" fillId="0" borderId="13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1" fillId="0" borderId="12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 wrapText="1"/>
    </xf>
    <xf numFmtId="166" fontId="0" fillId="0" borderId="12" xfId="19" applyNumberFormat="1" applyFont="1" applyFill="1" applyBorder="1" applyAlignment="1" applyProtection="1">
      <alignment vertical="center"/>
      <protection/>
    </xf>
    <xf numFmtId="164" fontId="19" fillId="0" borderId="18" xfId="0" applyFont="1" applyBorder="1" applyAlignment="1">
      <alignment horizontal="center" vertical="center"/>
    </xf>
    <xf numFmtId="166" fontId="13" fillId="3" borderId="18" xfId="0" applyNumberFormat="1" applyFont="1" applyFill="1" applyBorder="1" applyAlignment="1">
      <alignment vertical="center"/>
    </xf>
    <xf numFmtId="166" fontId="13" fillId="3" borderId="18" xfId="0" applyNumberFormat="1" applyFont="1" applyFill="1" applyBorder="1" applyAlignment="1">
      <alignment horizontal="right" vertical="center"/>
    </xf>
    <xf numFmtId="164" fontId="19" fillId="0" borderId="0" xfId="0" applyFont="1" applyBorder="1" applyAlignment="1">
      <alignment horizontal="center" vertical="center"/>
    </xf>
    <xf numFmtId="166" fontId="13" fillId="0" borderId="0" xfId="0" applyNumberFormat="1" applyFont="1" applyFill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left" vertical="center" indent="1"/>
    </xf>
    <xf numFmtId="164" fontId="0" fillId="0" borderId="1" xfId="0" applyFont="1" applyBorder="1" applyAlignment="1">
      <alignment horizontal="left" vertical="center" wrapText="1" indent="1"/>
    </xf>
    <xf numFmtId="164" fontId="0" fillId="0" borderId="19" xfId="0" applyBorder="1" applyAlignment="1">
      <alignment/>
    </xf>
    <xf numFmtId="164" fontId="0" fillId="0" borderId="0" xfId="0" applyFont="1" applyBorder="1" applyAlignment="1">
      <alignment horizontal="left" vertical="center" wrapText="1" indent="1"/>
    </xf>
    <xf numFmtId="168" fontId="0" fillId="0" borderId="0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164" fontId="19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8" fontId="21" fillId="0" borderId="19" xfId="0" applyNumberFormat="1" applyFont="1" applyBorder="1" applyAlignment="1">
      <alignment horizontal="right" vertical="center"/>
    </xf>
    <xf numFmtId="168" fontId="22" fillId="0" borderId="1" xfId="0" applyNumberFormat="1" applyFont="1" applyFill="1" applyBorder="1" applyAlignment="1">
      <alignment horizontal="right" vertical="center" wrapText="1"/>
    </xf>
    <xf numFmtId="168" fontId="6" fillId="0" borderId="19" xfId="0" applyNumberFormat="1" applyFont="1" applyBorder="1" applyAlignment="1">
      <alignment horizontal="right" vertical="center"/>
    </xf>
    <xf numFmtId="168" fontId="23" fillId="0" borderId="1" xfId="0" applyNumberFormat="1" applyFont="1" applyFill="1" applyBorder="1" applyAlignment="1">
      <alignment horizontal="right" vertical="center" wrapText="1"/>
    </xf>
    <xf numFmtId="164" fontId="7" fillId="0" borderId="11" xfId="0" applyFont="1" applyBorder="1" applyAlignment="1">
      <alignment horizontal="center" vertical="center"/>
    </xf>
    <xf numFmtId="168" fontId="11" fillId="0" borderId="19" xfId="0" applyNumberFormat="1" applyFont="1" applyBorder="1" applyAlignment="1">
      <alignment vertical="center"/>
    </xf>
    <xf numFmtId="164" fontId="10" fillId="0" borderId="8" xfId="0" applyFont="1" applyBorder="1" applyAlignment="1">
      <alignment horizontal="center" vertical="center"/>
    </xf>
    <xf numFmtId="164" fontId="10" fillId="0" borderId="15" xfId="0" applyFont="1" applyBorder="1" applyAlignment="1">
      <alignment horizontal="left" vertical="center"/>
    </xf>
    <xf numFmtId="168" fontId="10" fillId="0" borderId="19" xfId="19" applyNumberFormat="1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vertical="center"/>
    </xf>
    <xf numFmtId="168" fontId="1" fillId="0" borderId="19" xfId="19" applyNumberFormat="1" applyFont="1" applyFill="1" applyBorder="1" applyAlignment="1" applyProtection="1">
      <alignment vertical="center"/>
      <protection/>
    </xf>
    <xf numFmtId="168" fontId="0" fillId="0" borderId="19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8" fontId="10" fillId="0" borderId="19" xfId="19" applyNumberFormat="1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0" fillId="0" borderId="15" xfId="0" applyFont="1" applyBorder="1" applyAlignment="1">
      <alignment horizontal="left" vertical="center" wrapText="1"/>
    </xf>
    <xf numFmtId="168" fontId="10" fillId="0" borderId="0" xfId="19" applyNumberFormat="1" applyFont="1" applyFill="1" applyBorder="1" applyAlignment="1" applyProtection="1">
      <alignment vertical="center"/>
      <protection/>
    </xf>
    <xf numFmtId="164" fontId="1" fillId="0" borderId="19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8" fontId="18" fillId="0" borderId="19" xfId="19" applyNumberFormat="1" applyFont="1" applyFill="1" applyBorder="1" applyAlignment="1" applyProtection="1">
      <alignment vertical="center"/>
      <protection/>
    </xf>
    <xf numFmtId="168" fontId="10" fillId="0" borderId="19" xfId="0" applyNumberFormat="1" applyFont="1" applyBorder="1" applyAlignment="1">
      <alignment vertical="center"/>
    </xf>
    <xf numFmtId="164" fontId="0" fillId="0" borderId="0" xfId="0" applyBorder="1" applyAlignment="1">
      <alignment/>
    </xf>
    <xf numFmtId="168" fontId="1" fillId="0" borderId="19" xfId="0" applyNumberFormat="1" applyFont="1" applyBorder="1" applyAlignment="1">
      <alignment vertical="center"/>
    </xf>
    <xf numFmtId="166" fontId="12" fillId="0" borderId="19" xfId="0" applyNumberFormat="1" applyFont="1" applyBorder="1" applyAlignment="1">
      <alignment vertical="center"/>
    </xf>
    <xf numFmtId="166" fontId="8" fillId="0" borderId="19" xfId="19" applyNumberFormat="1" applyFont="1" applyFill="1" applyBorder="1" applyAlignment="1" applyProtection="1">
      <alignment vertical="center"/>
      <protection/>
    </xf>
    <xf numFmtId="166" fontId="0" fillId="0" borderId="19" xfId="19" applyNumberFormat="1" applyFont="1" applyFill="1" applyBorder="1" applyAlignment="1" applyProtection="1">
      <alignment vertical="center"/>
      <protection/>
    </xf>
    <xf numFmtId="166" fontId="0" fillId="0" borderId="19" xfId="0" applyNumberFormat="1" applyFont="1" applyBorder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0" xfId="0" applyFont="1" applyBorder="1" applyAlignment="1">
      <alignment horizontal="center" vertical="center" wrapText="1"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/>
    </xf>
    <xf numFmtId="164" fontId="23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wrapText="1"/>
    </xf>
    <xf numFmtId="168" fontId="1" fillId="0" borderId="4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right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center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164" fontId="25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25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4" fontId="1" fillId="0" borderId="0" xfId="0" applyFont="1" applyAlignment="1">
      <alignment vertical="center"/>
    </xf>
    <xf numFmtId="164" fontId="26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14" fillId="0" borderId="3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left" vertical="center" wrapText="1"/>
    </xf>
    <xf numFmtId="168" fontId="0" fillId="0" borderId="4" xfId="0" applyNumberFormat="1" applyFont="1" applyBorder="1" applyAlignment="1">
      <alignment horizontal="right" vertical="center"/>
    </xf>
    <xf numFmtId="168" fontId="0" fillId="0" borderId="1" xfId="0" applyNumberFormat="1" applyFont="1" applyBorder="1" applyAlignment="1">
      <alignment horizontal="right" vertical="center"/>
    </xf>
    <xf numFmtId="168" fontId="0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left" vertical="center" wrapText="1"/>
    </xf>
    <xf numFmtId="165" fontId="30" fillId="0" borderId="1" xfId="0" applyNumberFormat="1" applyFont="1" applyBorder="1" applyAlignment="1">
      <alignment horizontal="left" vertical="center" wrapText="1"/>
    </xf>
    <xf numFmtId="168" fontId="31" fillId="0" borderId="1" xfId="0" applyNumberFormat="1" applyFont="1" applyBorder="1" applyAlignment="1">
      <alignment horizontal="right" vertical="center"/>
    </xf>
    <xf numFmtId="168" fontId="0" fillId="0" borderId="4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64" fontId="15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164" fontId="32" fillId="0" borderId="0" xfId="0" applyFont="1" applyBorder="1" applyAlignment="1">
      <alignment horizontal="center"/>
    </xf>
    <xf numFmtId="164" fontId="33" fillId="0" borderId="0" xfId="0" applyFont="1" applyAlignment="1">
      <alignment/>
    </xf>
    <xf numFmtId="164" fontId="34" fillId="0" borderId="0" xfId="20" applyFont="1" applyBorder="1" applyAlignment="1">
      <alignment horizontal="center"/>
      <protection/>
    </xf>
    <xf numFmtId="164" fontId="23" fillId="0" borderId="0" xfId="20" applyFont="1">
      <alignment/>
      <protection/>
    </xf>
    <xf numFmtId="164" fontId="23" fillId="0" borderId="1" xfId="20" applyFont="1" applyBorder="1" applyAlignment="1">
      <alignment horizontal="center" vertical="center"/>
      <protection/>
    </xf>
    <xf numFmtId="164" fontId="23" fillId="0" borderId="1" xfId="20" applyFont="1" applyBorder="1" applyAlignment="1">
      <alignment horizontal="center" vertical="center" wrapText="1"/>
      <protection/>
    </xf>
    <xf numFmtId="164" fontId="35" fillId="0" borderId="1" xfId="20" applyFont="1" applyBorder="1" applyAlignment="1">
      <alignment horizontal="center" vertical="center"/>
      <protection/>
    </xf>
    <xf numFmtId="164" fontId="34" fillId="0" borderId="1" xfId="20" applyFont="1" applyBorder="1" applyAlignment="1">
      <alignment horizontal="center"/>
      <protection/>
    </xf>
    <xf numFmtId="164" fontId="23" fillId="0" borderId="1" xfId="20" applyFont="1" applyBorder="1">
      <alignment/>
      <protection/>
    </xf>
    <xf numFmtId="164" fontId="23" fillId="0" borderId="1" xfId="20" applyFont="1" applyBorder="1" applyAlignment="1">
      <alignment horizontal="center"/>
      <protection/>
    </xf>
    <xf numFmtId="168" fontId="23" fillId="0" borderId="1" xfId="20" applyNumberFormat="1" applyFont="1" applyBorder="1">
      <alignment/>
      <protection/>
    </xf>
    <xf numFmtId="168" fontId="23" fillId="0" borderId="1" xfId="0" applyNumberFormat="1" applyFont="1" applyBorder="1" applyAlignment="1">
      <alignment/>
    </xf>
    <xf numFmtId="165" fontId="23" fillId="0" borderId="15" xfId="20" applyNumberFormat="1" applyFont="1" applyBorder="1" applyAlignment="1">
      <alignment vertical="top"/>
      <protection/>
    </xf>
    <xf numFmtId="164" fontId="23" fillId="0" borderId="11" xfId="20" applyFont="1" applyBorder="1" applyAlignment="1">
      <alignment horizontal="center"/>
      <protection/>
    </xf>
    <xf numFmtId="164" fontId="23" fillId="0" borderId="5" xfId="20" applyFont="1" applyBorder="1" applyAlignment="1">
      <alignment horizontal="center"/>
      <protection/>
    </xf>
    <xf numFmtId="164" fontId="23" fillId="0" borderId="15" xfId="20" applyFont="1" applyBorder="1" applyAlignment="1">
      <alignment horizontal="left"/>
      <protection/>
    </xf>
    <xf numFmtId="165" fontId="23" fillId="0" borderId="15" xfId="20" applyNumberFormat="1" applyFont="1" applyBorder="1" applyAlignment="1">
      <alignment horizontal="left"/>
      <protection/>
    </xf>
    <xf numFmtId="164" fontId="23" fillId="0" borderId="7" xfId="20" applyFont="1" applyBorder="1" applyAlignment="1">
      <alignment horizontal="left"/>
      <protection/>
    </xf>
    <xf numFmtId="164" fontId="23" fillId="0" borderId="21" xfId="20" applyFont="1" applyBorder="1" applyAlignment="1">
      <alignment horizontal="center"/>
      <protection/>
    </xf>
    <xf numFmtId="164" fontId="23" fillId="0" borderId="9" xfId="20" applyFont="1" applyBorder="1" applyAlignment="1">
      <alignment horizontal="center"/>
      <protection/>
    </xf>
    <xf numFmtId="165" fontId="23" fillId="0" borderId="1" xfId="20" applyNumberFormat="1" applyFont="1" applyBorder="1">
      <alignment/>
      <protection/>
    </xf>
    <xf numFmtId="164" fontId="1" fillId="0" borderId="2" xfId="0" applyFont="1" applyBorder="1" applyAlignment="1">
      <alignment/>
    </xf>
    <xf numFmtId="168" fontId="23" fillId="0" borderId="1" xfId="20" applyNumberFormat="1" applyFont="1" applyBorder="1" applyAlignment="1">
      <alignment horizontal="right"/>
      <protection/>
    </xf>
    <xf numFmtId="168" fontId="23" fillId="0" borderId="1" xfId="20" applyNumberFormat="1" applyFont="1" applyBorder="1" applyAlignment="1">
      <alignment horizontal="center"/>
      <protection/>
    </xf>
    <xf numFmtId="164" fontId="23" fillId="0" borderId="1" xfId="20" applyFont="1" applyBorder="1" applyAlignment="1">
      <alignment horizontal="left"/>
      <protection/>
    </xf>
    <xf numFmtId="164" fontId="1" fillId="0" borderId="1" xfId="0" applyFont="1" applyBorder="1" applyAlignment="1">
      <alignment/>
    </xf>
    <xf numFmtId="164" fontId="23" fillId="0" borderId="3" xfId="20" applyFont="1" applyBorder="1" applyAlignment="1">
      <alignment horizontal="center"/>
      <protection/>
    </xf>
    <xf numFmtId="164" fontId="23" fillId="0" borderId="14" xfId="20" applyFont="1" applyBorder="1" applyAlignment="1">
      <alignment horizontal="center"/>
      <protection/>
    </xf>
    <xf numFmtId="164" fontId="23" fillId="0" borderId="8" xfId="20" applyFont="1" applyBorder="1" applyAlignment="1">
      <alignment horizontal="center"/>
      <protection/>
    </xf>
    <xf numFmtId="164" fontId="23" fillId="0" borderId="4" xfId="20" applyFont="1" applyBorder="1" applyAlignment="1">
      <alignment horizontal="center"/>
      <protection/>
    </xf>
    <xf numFmtId="165" fontId="23" fillId="0" borderId="20" xfId="20" applyNumberFormat="1" applyFont="1" applyBorder="1" applyAlignment="1">
      <alignment vertical="top"/>
      <protection/>
    </xf>
    <xf numFmtId="164" fontId="1" fillId="0" borderId="3" xfId="0" applyFont="1" applyBorder="1" applyAlignment="1">
      <alignment/>
    </xf>
    <xf numFmtId="168" fontId="23" fillId="0" borderId="3" xfId="20" applyNumberFormat="1" applyFont="1" applyBorder="1" applyAlignment="1">
      <alignment horizontal="right"/>
      <protection/>
    </xf>
    <xf numFmtId="164" fontId="23" fillId="0" borderId="0" xfId="20" applyFont="1" applyBorder="1" applyAlignment="1">
      <alignment horizontal="left"/>
      <protection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right" wrapText="1"/>
    </xf>
    <xf numFmtId="166" fontId="0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23" fillId="0" borderId="0" xfId="0" applyFont="1" applyBorder="1" applyAlignment="1">
      <alignment horizontal="right"/>
    </xf>
    <xf numFmtId="164" fontId="23" fillId="0" borderId="2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1" fillId="0" borderId="8" xfId="0" applyFont="1" applyBorder="1" applyAlignment="1">
      <alignment horizontal="center" wrapText="1"/>
    </xf>
    <xf numFmtId="166" fontId="11" fillId="0" borderId="1" xfId="0" applyNumberFormat="1" applyFont="1" applyBorder="1" applyAlignment="1">
      <alignment/>
    </xf>
    <xf numFmtId="164" fontId="17" fillId="0" borderId="3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/>
    </xf>
    <xf numFmtId="164" fontId="10" fillId="0" borderId="3" xfId="0" applyFont="1" applyFill="1" applyBorder="1" applyAlignment="1">
      <alignment horizontal="center"/>
    </xf>
    <xf numFmtId="164" fontId="10" fillId="0" borderId="10" xfId="0" applyFont="1" applyFill="1" applyBorder="1" applyAlignment="1">
      <alignment horizontal="center"/>
    </xf>
    <xf numFmtId="164" fontId="1" fillId="0" borderId="5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4" fontId="11" fillId="0" borderId="2" xfId="0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vertical="center"/>
    </xf>
    <xf numFmtId="164" fontId="17" fillId="0" borderId="3" xfId="0" applyFont="1" applyFill="1" applyBorder="1" applyAlignment="1">
      <alignment horizontal="center" vertical="center"/>
    </xf>
    <xf numFmtId="164" fontId="17" fillId="0" borderId="2" xfId="0" applyFont="1" applyFill="1" applyBorder="1" applyAlignment="1">
      <alignment horizontal="center" vertical="center"/>
    </xf>
    <xf numFmtId="164" fontId="17" fillId="0" borderId="5" xfId="0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vertical="center"/>
    </xf>
    <xf numFmtId="164" fontId="2" fillId="0" borderId="3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4" fontId="2" fillId="0" borderId="4" xfId="0" applyFont="1" applyFill="1" applyBorder="1" applyAlignment="1">
      <alignment horizontal="center" vertical="center"/>
    </xf>
    <xf numFmtId="164" fontId="11" fillId="0" borderId="2" xfId="0" applyFont="1" applyBorder="1" applyAlignment="1">
      <alignment horizontal="center" vertical="top"/>
    </xf>
    <xf numFmtId="164" fontId="11" fillId="0" borderId="1" xfId="0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right" wrapText="1"/>
    </xf>
    <xf numFmtId="164" fontId="11" fillId="0" borderId="3" xfId="0" applyFont="1" applyBorder="1" applyAlignment="1">
      <alignment horizontal="center" vertical="top"/>
    </xf>
    <xf numFmtId="164" fontId="10" fillId="0" borderId="2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/>
    </xf>
    <xf numFmtId="166" fontId="10" fillId="0" borderId="1" xfId="0" applyNumberFormat="1" applyFont="1" applyBorder="1" applyAlignment="1">
      <alignment horizontal="right"/>
    </xf>
    <xf numFmtId="164" fontId="10" fillId="0" borderId="3" xfId="0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/>
    </xf>
    <xf numFmtId="164" fontId="11" fillId="0" borderId="4" xfId="0" applyFont="1" applyBorder="1" applyAlignment="1">
      <alignment horizontal="center" vertical="top"/>
    </xf>
    <xf numFmtId="164" fontId="10" fillId="0" borderId="4" xfId="0" applyFont="1" applyBorder="1" applyAlignment="1">
      <alignment horizontal="center" vertical="top"/>
    </xf>
    <xf numFmtId="164" fontId="11" fillId="0" borderId="1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0" fillId="0" borderId="2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vertical="center"/>
    </xf>
    <xf numFmtId="164" fontId="1" fillId="0" borderId="8" xfId="0" applyFont="1" applyBorder="1" applyAlignment="1">
      <alignment horizontal="center"/>
    </xf>
    <xf numFmtId="164" fontId="10" fillId="0" borderId="5" xfId="0" applyFont="1" applyFill="1" applyBorder="1" applyAlignment="1">
      <alignment horizontal="left" wrapText="1"/>
    </xf>
    <xf numFmtId="164" fontId="10" fillId="0" borderId="5" xfId="0" applyFont="1" applyFill="1" applyBorder="1" applyAlignment="1">
      <alignment horizontal="left" vertical="center"/>
    </xf>
    <xf numFmtId="164" fontId="13" fillId="0" borderId="1" xfId="0" applyFont="1" applyBorder="1" applyAlignment="1">
      <alignment horizontal="center"/>
    </xf>
    <xf numFmtId="166" fontId="13" fillId="0" borderId="5" xfId="0" applyNumberFormat="1" applyFont="1" applyBorder="1" applyAlignment="1">
      <alignment/>
    </xf>
    <xf numFmtId="164" fontId="6" fillId="0" borderId="0" xfId="0" applyFont="1" applyBorder="1" applyAlignment="1">
      <alignment horizontal="right"/>
    </xf>
    <xf numFmtId="164" fontId="6" fillId="0" borderId="2" xfId="0" applyFont="1" applyBorder="1" applyAlignment="1">
      <alignment horizontal="center"/>
    </xf>
    <xf numFmtId="164" fontId="17" fillId="0" borderId="1" xfId="0" applyFont="1" applyBorder="1" applyAlignment="1">
      <alignment horizontal="center"/>
    </xf>
    <xf numFmtId="168" fontId="11" fillId="0" borderId="1" xfId="0" applyNumberFormat="1" applyFont="1" applyBorder="1" applyAlignment="1">
      <alignment/>
    </xf>
    <xf numFmtId="164" fontId="17" fillId="0" borderId="6" xfId="0" applyFont="1" applyFill="1" applyBorder="1" applyAlignment="1">
      <alignment horizontal="center"/>
    </xf>
    <xf numFmtId="165" fontId="10" fillId="0" borderId="2" xfId="0" applyNumberFormat="1" applyFont="1" applyBorder="1" applyAlignment="1">
      <alignment horizontal="center" vertical="top"/>
    </xf>
    <xf numFmtId="164" fontId="10" fillId="0" borderId="15" xfId="0" applyFont="1" applyBorder="1" applyAlignment="1">
      <alignment horizontal="left"/>
    </xf>
    <xf numFmtId="168" fontId="17" fillId="0" borderId="1" xfId="0" applyNumberFormat="1" applyFont="1" applyFill="1" applyBorder="1" applyAlignment="1">
      <alignment/>
    </xf>
    <xf numFmtId="164" fontId="10" fillId="0" borderId="6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8" fontId="13" fillId="0" borderId="1" xfId="0" applyNumberFormat="1" applyFont="1" applyBorder="1" applyAlignment="1">
      <alignment/>
    </xf>
    <xf numFmtId="164" fontId="36" fillId="0" borderId="0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37" fillId="0" borderId="1" xfId="0" applyFont="1" applyBorder="1" applyAlignment="1">
      <alignment horizontal="left" vertical="center"/>
    </xf>
    <xf numFmtId="168" fontId="1" fillId="0" borderId="1" xfId="0" applyNumberFormat="1" applyFont="1" applyBorder="1" applyAlignment="1">
      <alignment vertical="center"/>
    </xf>
    <xf numFmtId="164" fontId="17" fillId="0" borderId="4" xfId="0" applyFont="1" applyFill="1" applyBorder="1" applyAlignment="1">
      <alignment horizontal="center"/>
    </xf>
    <xf numFmtId="164" fontId="13" fillId="0" borderId="1" xfId="0" applyFont="1" applyBorder="1" applyAlignment="1">
      <alignment horizontal="center" vertical="center"/>
    </xf>
    <xf numFmtId="168" fontId="13" fillId="0" borderId="1" xfId="0" applyNumberFormat="1" applyFont="1" applyBorder="1" applyAlignment="1">
      <alignment vertical="center"/>
    </xf>
    <xf numFmtId="164" fontId="19" fillId="0" borderId="0" xfId="0" applyFont="1" applyBorder="1" applyAlignment="1">
      <alignment horizontal="center" wrapText="1"/>
    </xf>
    <xf numFmtId="164" fontId="11" fillId="0" borderId="6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37" fillId="0" borderId="2" xfId="0" applyFont="1" applyBorder="1" applyAlignment="1">
      <alignment horizontal="left" vertical="center"/>
    </xf>
    <xf numFmtId="168" fontId="25" fillId="0" borderId="2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center" vertical="top"/>
    </xf>
    <xf numFmtId="164" fontId="10" fillId="0" borderId="0" xfId="0" applyFont="1" applyBorder="1" applyAlignment="1">
      <alignment horizontal="left"/>
    </xf>
    <xf numFmtId="164" fontId="37" fillId="0" borderId="3" xfId="0" applyFont="1" applyBorder="1" applyAlignment="1">
      <alignment horizontal="left" vertical="center"/>
    </xf>
    <xf numFmtId="168" fontId="25" fillId="0" borderId="3" xfId="0" applyNumberFormat="1" applyFont="1" applyBorder="1" applyAlignment="1">
      <alignment vertical="center"/>
    </xf>
    <xf numFmtId="164" fontId="1" fillId="0" borderId="0" xfId="0" applyFont="1" applyFill="1" applyBorder="1" applyAlignment="1">
      <alignment horizontal="center"/>
    </xf>
    <xf numFmtId="164" fontId="24" fillId="0" borderId="6" xfId="0" applyFont="1" applyBorder="1" applyAlignment="1">
      <alignment horizontal="center"/>
    </xf>
    <xf numFmtId="164" fontId="24" fillId="0" borderId="3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37" fillId="0" borderId="4" xfId="0" applyFont="1" applyBorder="1" applyAlignment="1">
      <alignment horizontal="left" vertical="center" wrapText="1"/>
    </xf>
    <xf numFmtId="168" fontId="25" fillId="0" borderId="4" xfId="0" applyNumberFormat="1" applyFont="1" applyBorder="1" applyAlignment="1">
      <alignment vertical="center"/>
    </xf>
    <xf numFmtId="168" fontId="13" fillId="0" borderId="4" xfId="0" applyNumberFormat="1" applyFont="1" applyBorder="1" applyAlignment="1">
      <alignment vertical="center"/>
    </xf>
    <xf numFmtId="164" fontId="32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11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23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70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left"/>
    </xf>
    <xf numFmtId="165" fontId="0" fillId="0" borderId="0" xfId="0" applyNumberFormat="1" applyFont="1" applyAlignment="1">
      <alignment/>
    </xf>
    <xf numFmtId="164" fontId="15" fillId="0" borderId="0" xfId="0" applyFont="1" applyBorder="1" applyAlignment="1">
      <alignment horizontal="left"/>
    </xf>
    <xf numFmtId="164" fontId="38" fillId="0" borderId="0" xfId="0" applyFont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8" fontId="25" fillId="0" borderId="1" xfId="0" applyNumberFormat="1" applyFont="1" applyBorder="1" applyAlignment="1">
      <alignment/>
    </xf>
    <xf numFmtId="168" fontId="25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6" fontId="25" fillId="0" borderId="1" xfId="0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1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5" fontId="38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SheetLayoutView="55" workbookViewId="0" topLeftCell="A13">
      <selection activeCell="F19" sqref="F19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7.375" style="1" customWidth="1"/>
    <col min="6" max="8" width="17.75390625" style="1" customWidth="1"/>
    <col min="9" max="243" width="11.625" style="1" customWidth="1"/>
    <col min="244" max="248" width="11.625" style="2" customWidth="1"/>
    <col min="249" max="16384" width="11.625" style="0" customWidth="1"/>
  </cols>
  <sheetData>
    <row r="1" spans="5:8" ht="12.75">
      <c r="E1" s="3" t="s">
        <v>0</v>
      </c>
      <c r="F1" s="4"/>
      <c r="G1" s="4"/>
      <c r="H1" s="4"/>
    </row>
    <row r="2" spans="5:8" ht="12.75">
      <c r="E2" s="3" t="s">
        <v>1</v>
      </c>
      <c r="F2" s="4"/>
      <c r="G2" s="4"/>
      <c r="H2" s="4"/>
    </row>
    <row r="3" spans="5:8" ht="12.75">
      <c r="E3" s="4" t="s">
        <v>2</v>
      </c>
      <c r="F3" s="4"/>
      <c r="G3" s="4"/>
      <c r="H3" s="4"/>
    </row>
    <row r="5" spans="1:8" ht="18.75">
      <c r="A5" s="5" t="s">
        <v>3</v>
      </c>
      <c r="B5" s="5"/>
      <c r="C5" s="5"/>
      <c r="D5" s="5"/>
      <c r="E5" s="5"/>
      <c r="F5" s="5"/>
      <c r="G5" s="5"/>
      <c r="H5" s="5"/>
    </row>
    <row r="6" spans="1:4" ht="17.25">
      <c r="A6" s="6"/>
      <c r="B6" s="6"/>
      <c r="C6" s="6"/>
      <c r="D6" s="6"/>
    </row>
    <row r="7" spans="1:8" ht="13.5" customHeight="1">
      <c r="A7" s="7" t="s">
        <v>4</v>
      </c>
      <c r="B7" s="7"/>
      <c r="C7" s="7"/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12.75">
      <c r="A8" s="7" t="s">
        <v>10</v>
      </c>
      <c r="B8" s="7" t="s">
        <v>11</v>
      </c>
      <c r="C8" s="7" t="s">
        <v>12</v>
      </c>
      <c r="D8" s="7"/>
      <c r="E8" s="8"/>
      <c r="F8" s="8"/>
      <c r="G8" s="8" t="s">
        <v>13</v>
      </c>
      <c r="H8" s="8" t="s">
        <v>14</v>
      </c>
    </row>
    <row r="9" spans="1:8" ht="12.75">
      <c r="A9" s="9">
        <v>1</v>
      </c>
      <c r="B9" s="10">
        <v>2</v>
      </c>
      <c r="C9" s="10">
        <v>3</v>
      </c>
      <c r="D9" s="10">
        <v>4</v>
      </c>
      <c r="E9" s="10">
        <v>6</v>
      </c>
      <c r="F9" s="10"/>
      <c r="G9" s="10"/>
      <c r="H9" s="10"/>
    </row>
    <row r="10" spans="1:8" ht="15">
      <c r="A10" s="11" t="s">
        <v>15</v>
      </c>
      <c r="B10" s="12" t="s">
        <v>16</v>
      </c>
      <c r="C10" s="12"/>
      <c r="D10" s="12"/>
      <c r="E10" s="13">
        <f>SUM(E11,E15,E13)</f>
        <v>482553.54</v>
      </c>
      <c r="F10" s="13">
        <f>SUM(F11,F15,F13)</f>
        <v>625000</v>
      </c>
      <c r="G10" s="13">
        <f>SUM(G11,G15,G13)</f>
        <v>0</v>
      </c>
      <c r="H10" s="13">
        <f>SUM(H11,H15,H13)</f>
        <v>625000</v>
      </c>
    </row>
    <row r="11" spans="1:8" ht="24.75">
      <c r="A11" s="14"/>
      <c r="B11" s="15" t="s">
        <v>17</v>
      </c>
      <c r="C11" s="16" t="s">
        <v>18</v>
      </c>
      <c r="D11" s="16"/>
      <c r="E11" s="17">
        <f>SUM(E12)</f>
        <v>446970</v>
      </c>
      <c r="F11" s="17">
        <f>SUM(F12)</f>
        <v>0</v>
      </c>
      <c r="G11" s="18">
        <f>SUM(G12)</f>
        <v>0</v>
      </c>
      <c r="H11" s="18">
        <f>SUM(H12)</f>
        <v>0</v>
      </c>
    </row>
    <row r="12" spans="1:8" ht="24.75">
      <c r="A12" s="14"/>
      <c r="B12" s="19"/>
      <c r="C12" s="7">
        <v>6298</v>
      </c>
      <c r="D12" s="20" t="s">
        <v>19</v>
      </c>
      <c r="E12" s="21">
        <v>446970</v>
      </c>
      <c r="F12" s="22"/>
      <c r="G12" s="22">
        <f>F12</f>
        <v>0</v>
      </c>
      <c r="H12" s="22"/>
    </row>
    <row r="13" spans="1:8" ht="12.75">
      <c r="A13" s="14"/>
      <c r="B13" s="15" t="s">
        <v>20</v>
      </c>
      <c r="C13" s="16" t="s">
        <v>21</v>
      </c>
      <c r="D13" s="16"/>
      <c r="E13" s="17">
        <f>SUM(E14)</f>
        <v>0</v>
      </c>
      <c r="F13" s="17">
        <f>SUM(F14)</f>
        <v>625000</v>
      </c>
      <c r="G13" s="18">
        <f>SUM(G14)</f>
        <v>0</v>
      </c>
      <c r="H13" s="18">
        <f>SUM(H14)</f>
        <v>625000</v>
      </c>
    </row>
    <row r="14" spans="1:8" ht="24.75">
      <c r="A14" s="14"/>
      <c r="B14" s="19"/>
      <c r="C14" s="7">
        <v>6298</v>
      </c>
      <c r="D14" s="20" t="s">
        <v>19</v>
      </c>
      <c r="E14" s="21"/>
      <c r="F14" s="22">
        <f>3a!K13+3a!K14+3a!K15+3a!K16</f>
        <v>625000</v>
      </c>
      <c r="G14" s="22"/>
      <c r="H14" s="22">
        <f>F14</f>
        <v>625000</v>
      </c>
    </row>
    <row r="15" spans="1:8" ht="12.75">
      <c r="A15" s="14"/>
      <c r="B15" s="15" t="s">
        <v>22</v>
      </c>
      <c r="C15" s="16" t="s">
        <v>23</v>
      </c>
      <c r="D15" s="16"/>
      <c r="E15" s="23">
        <f>SUM(E16)</f>
        <v>35583.54</v>
      </c>
      <c r="F15" s="23">
        <f>SUM(F16)</f>
        <v>0</v>
      </c>
      <c r="G15" s="24">
        <f>SUM(G16)</f>
        <v>0</v>
      </c>
      <c r="H15" s="24">
        <f>SUM(H16)</f>
        <v>0</v>
      </c>
    </row>
    <row r="16" spans="1:8" ht="24.75">
      <c r="A16" s="25"/>
      <c r="B16" s="19"/>
      <c r="C16" s="26" t="s">
        <v>24</v>
      </c>
      <c r="D16" s="27" t="s">
        <v>25</v>
      </c>
      <c r="E16" s="21">
        <v>35583.54</v>
      </c>
      <c r="F16" s="22"/>
      <c r="G16" s="22">
        <f>F16</f>
        <v>0</v>
      </c>
      <c r="H16" s="22"/>
    </row>
    <row r="17" spans="1:9" ht="15">
      <c r="A17" s="11" t="s">
        <v>26</v>
      </c>
      <c r="B17" s="28" t="s">
        <v>27</v>
      </c>
      <c r="C17" s="28"/>
      <c r="D17" s="28"/>
      <c r="E17" s="13">
        <f>SUM(E18)</f>
        <v>1000</v>
      </c>
      <c r="F17" s="13">
        <f>SUM(F18)</f>
        <v>1500</v>
      </c>
      <c r="G17" s="29">
        <f>SUM(G18)</f>
        <v>0</v>
      </c>
      <c r="H17" s="29">
        <f>SUM(H18)</f>
        <v>1500</v>
      </c>
      <c r="I17" s="30"/>
    </row>
    <row r="18" spans="1:8" ht="13.5">
      <c r="A18" s="31"/>
      <c r="B18" s="32" t="s">
        <v>28</v>
      </c>
      <c r="C18" s="33" t="s">
        <v>29</v>
      </c>
      <c r="D18" s="33"/>
      <c r="E18" s="34">
        <f>SUM(E19)</f>
        <v>1000</v>
      </c>
      <c r="F18" s="34">
        <f>SUM(F19)</f>
        <v>1500</v>
      </c>
      <c r="G18" s="35">
        <f>SUM(G19)</f>
        <v>0</v>
      </c>
      <c r="H18" s="35">
        <f>SUM(H19)</f>
        <v>1500</v>
      </c>
    </row>
    <row r="19" spans="1:8" ht="24.75">
      <c r="A19" s="36"/>
      <c r="B19" s="37"/>
      <c r="C19" s="26" t="s">
        <v>30</v>
      </c>
      <c r="D19" s="27" t="s">
        <v>31</v>
      </c>
      <c r="E19" s="38">
        <v>1000</v>
      </c>
      <c r="F19" s="38">
        <v>1500</v>
      </c>
      <c r="G19" s="39"/>
      <c r="H19" s="39">
        <f>F19</f>
        <v>1500</v>
      </c>
    </row>
    <row r="20" spans="1:8" ht="15">
      <c r="A20" s="11" t="s">
        <v>32</v>
      </c>
      <c r="B20" s="28" t="s">
        <v>33</v>
      </c>
      <c r="C20" s="28"/>
      <c r="D20" s="28"/>
      <c r="E20" s="13">
        <f>SUM(E21)</f>
        <v>783080</v>
      </c>
      <c r="F20" s="13">
        <f>SUM(F21)</f>
        <v>545000</v>
      </c>
      <c r="G20" s="29">
        <f>SUM(G21)</f>
        <v>0</v>
      </c>
      <c r="H20" s="29">
        <f>SUM(H21)</f>
        <v>545000</v>
      </c>
    </row>
    <row r="21" spans="1:8" ht="13.5">
      <c r="A21" s="40"/>
      <c r="B21" s="32" t="s">
        <v>34</v>
      </c>
      <c r="C21" s="41" t="s">
        <v>35</v>
      </c>
      <c r="D21" s="41"/>
      <c r="E21" s="34">
        <f>SUM(E22:E25)</f>
        <v>783080</v>
      </c>
      <c r="F21" s="34">
        <f>SUM(F22:F25)</f>
        <v>545000</v>
      </c>
      <c r="G21" s="35">
        <f>SUM(G22:G25)</f>
        <v>0</v>
      </c>
      <c r="H21" s="35">
        <f>SUM(H22:H25)</f>
        <v>545000</v>
      </c>
    </row>
    <row r="22" spans="1:8" ht="13.5">
      <c r="A22" s="40"/>
      <c r="B22" s="42"/>
      <c r="C22" s="26" t="s">
        <v>36</v>
      </c>
      <c r="D22" s="27" t="s">
        <v>37</v>
      </c>
      <c r="E22" s="38">
        <v>18000</v>
      </c>
      <c r="F22" s="38">
        <v>20000</v>
      </c>
      <c r="G22" s="39"/>
      <c r="H22" s="39">
        <f>F22</f>
        <v>20000</v>
      </c>
    </row>
    <row r="23" spans="1:8" ht="24.75">
      <c r="A23" s="43"/>
      <c r="B23" s="44"/>
      <c r="C23" s="26" t="s">
        <v>30</v>
      </c>
      <c r="D23" s="45" t="s">
        <v>38</v>
      </c>
      <c r="E23" s="38">
        <v>30000</v>
      </c>
      <c r="F23" s="38">
        <v>25000</v>
      </c>
      <c r="G23" s="39"/>
      <c r="H23" s="39">
        <f>F23</f>
        <v>25000</v>
      </c>
    </row>
    <row r="24" spans="1:8" ht="12.75">
      <c r="A24" s="43"/>
      <c r="B24" s="44"/>
      <c r="C24" s="26" t="s">
        <v>39</v>
      </c>
      <c r="D24" s="45" t="s">
        <v>40</v>
      </c>
      <c r="E24" s="38">
        <v>735000</v>
      </c>
      <c r="F24" s="38">
        <v>500000</v>
      </c>
      <c r="G24" s="39"/>
      <c r="H24" s="39">
        <f>F24</f>
        <v>500000</v>
      </c>
    </row>
    <row r="25" spans="1:8" ht="12.75">
      <c r="A25" s="43"/>
      <c r="B25" s="44"/>
      <c r="C25" s="26" t="s">
        <v>41</v>
      </c>
      <c r="D25" s="45" t="s">
        <v>42</v>
      </c>
      <c r="E25" s="38">
        <v>80</v>
      </c>
      <c r="F25" s="38"/>
      <c r="G25" s="39"/>
      <c r="H25" s="39">
        <f>F25</f>
        <v>0</v>
      </c>
    </row>
    <row r="26" spans="1:8" ht="15">
      <c r="A26" s="11" t="s">
        <v>43</v>
      </c>
      <c r="B26" s="12" t="s">
        <v>44</v>
      </c>
      <c r="C26" s="12"/>
      <c r="D26" s="12"/>
      <c r="E26" s="13">
        <f>SUM(E27)</f>
        <v>2000</v>
      </c>
      <c r="F26" s="13" t="s">
        <v>45</v>
      </c>
      <c r="G26" s="29">
        <f>SUM(G27)</f>
        <v>0</v>
      </c>
      <c r="H26" s="29">
        <f>SUM(H27)</f>
        <v>0</v>
      </c>
    </row>
    <row r="27" spans="1:8" ht="13.5">
      <c r="A27" s="46"/>
      <c r="B27" s="47" t="s">
        <v>46</v>
      </c>
      <c r="C27" s="33" t="s">
        <v>47</v>
      </c>
      <c r="D27" s="33"/>
      <c r="E27" s="34">
        <f>SUM(E28:E28)</f>
        <v>2000</v>
      </c>
      <c r="F27" s="34">
        <f>SUM(F28:F28)</f>
        <v>0</v>
      </c>
      <c r="G27" s="35">
        <f>SUM(G28:G28)</f>
        <v>0</v>
      </c>
      <c r="H27" s="35">
        <f>SUM(H28:H28)</f>
        <v>0</v>
      </c>
    </row>
    <row r="28" spans="1:8" ht="24.75">
      <c r="A28" s="48"/>
      <c r="B28" s="49"/>
      <c r="C28" s="26" t="s">
        <v>48</v>
      </c>
      <c r="D28" s="27" t="s">
        <v>49</v>
      </c>
      <c r="E28" s="38">
        <v>2000</v>
      </c>
      <c r="F28" s="38"/>
      <c r="G28" s="39">
        <f>F28</f>
        <v>0</v>
      </c>
      <c r="H28" s="39"/>
    </row>
    <row r="29" spans="1:8" ht="15">
      <c r="A29" s="11" t="s">
        <v>50</v>
      </c>
      <c r="B29" s="28" t="s">
        <v>51</v>
      </c>
      <c r="C29" s="28"/>
      <c r="D29" s="28"/>
      <c r="E29" s="13">
        <f>SUM(E30)</f>
        <v>30135</v>
      </c>
      <c r="F29" s="13">
        <f>SUM(F30)</f>
        <v>25192</v>
      </c>
      <c r="G29" s="13">
        <f>SUM(G30)</f>
        <v>25192</v>
      </c>
      <c r="H29" s="13">
        <f>SUM(H30)</f>
        <v>0</v>
      </c>
    </row>
    <row r="30" spans="1:8" ht="13.5">
      <c r="A30" s="46"/>
      <c r="B30" s="32" t="s">
        <v>52</v>
      </c>
      <c r="C30" s="33" t="s">
        <v>53</v>
      </c>
      <c r="D30" s="33"/>
      <c r="E30" s="34">
        <f>SUM(E31:E31)</f>
        <v>30135</v>
      </c>
      <c r="F30" s="34">
        <f>SUM(F31:F31)</f>
        <v>25192</v>
      </c>
      <c r="G30" s="35">
        <f>SUM(G31:G31)</f>
        <v>25192</v>
      </c>
      <c r="H30" s="35">
        <f>SUM(H31:H31)</f>
        <v>0</v>
      </c>
    </row>
    <row r="31" spans="1:8" ht="24.75">
      <c r="A31" s="48"/>
      <c r="B31" s="44"/>
      <c r="C31" s="26" t="s">
        <v>24</v>
      </c>
      <c r="D31" s="27" t="s">
        <v>25</v>
      </c>
      <c r="E31" s="38">
        <v>30135</v>
      </c>
      <c r="F31" s="38">
        <v>25192</v>
      </c>
      <c r="G31" s="39">
        <f>F31</f>
        <v>25192</v>
      </c>
      <c r="H31" s="39"/>
    </row>
    <row r="32" spans="1:8" ht="29.25">
      <c r="A32" s="11" t="s">
        <v>54</v>
      </c>
      <c r="B32" s="50" t="s">
        <v>55</v>
      </c>
      <c r="C32" s="50"/>
      <c r="D32" s="50"/>
      <c r="E32" s="13">
        <f>SUM(E33,E35)</f>
        <v>9176</v>
      </c>
      <c r="F32" s="13">
        <f>SUM(F33,F35)</f>
        <v>800</v>
      </c>
      <c r="G32" s="29">
        <f>SUM(G33,G35)</f>
        <v>800</v>
      </c>
      <c r="H32" s="29">
        <f>SUM(H33,H35)</f>
        <v>0</v>
      </c>
    </row>
    <row r="33" spans="1:8" ht="15">
      <c r="A33" s="51"/>
      <c r="B33" s="32" t="s">
        <v>56</v>
      </c>
      <c r="C33" s="41" t="s">
        <v>57</v>
      </c>
      <c r="D33" s="41"/>
      <c r="E33" s="34">
        <f>SUM(E34)</f>
        <v>800</v>
      </c>
      <c r="F33" s="34">
        <f>SUM(F34)</f>
        <v>800</v>
      </c>
      <c r="G33" s="35">
        <f>SUM(G34)</f>
        <v>800</v>
      </c>
      <c r="H33" s="35">
        <f>SUM(H34)</f>
        <v>0</v>
      </c>
    </row>
    <row r="34" spans="1:8" ht="24.75">
      <c r="A34" s="51"/>
      <c r="B34" s="37"/>
      <c r="C34" s="26" t="s">
        <v>24</v>
      </c>
      <c r="D34" s="27" t="s">
        <v>25</v>
      </c>
      <c r="E34" s="38">
        <v>800</v>
      </c>
      <c r="F34" s="38">
        <v>800</v>
      </c>
      <c r="G34" s="39">
        <f>F34</f>
        <v>800</v>
      </c>
      <c r="H34" s="39"/>
    </row>
    <row r="35" spans="1:8" ht="15">
      <c r="A35" s="51"/>
      <c r="B35" s="32" t="s">
        <v>58</v>
      </c>
      <c r="C35" s="41" t="s">
        <v>59</v>
      </c>
      <c r="D35" s="41"/>
      <c r="E35" s="34">
        <f>SUM(E36)</f>
        <v>8376</v>
      </c>
      <c r="F35" s="34">
        <f>SUM(F36)</f>
        <v>0</v>
      </c>
      <c r="G35" s="35">
        <f>SUM(G36)</f>
        <v>0</v>
      </c>
      <c r="H35" s="35">
        <f>SUM(H36)</f>
        <v>0</v>
      </c>
    </row>
    <row r="36" spans="1:8" ht="24.75">
      <c r="A36" s="52"/>
      <c r="B36" s="37"/>
      <c r="C36" s="26" t="s">
        <v>24</v>
      </c>
      <c r="D36" s="27" t="s">
        <v>25</v>
      </c>
      <c r="E36" s="38">
        <v>8376</v>
      </c>
      <c r="F36" s="38">
        <v>0</v>
      </c>
      <c r="G36" s="39">
        <f>F36</f>
        <v>0</v>
      </c>
      <c r="H36" s="39"/>
    </row>
    <row r="37" spans="1:8" ht="15">
      <c r="A37" s="53">
        <v>754</v>
      </c>
      <c r="B37" s="50" t="s">
        <v>60</v>
      </c>
      <c r="C37" s="50"/>
      <c r="D37" s="50"/>
      <c r="E37" s="13">
        <f>SUM(E38,E40)</f>
        <v>15300</v>
      </c>
      <c r="F37" s="13">
        <f>SUM(F38,F40)</f>
        <v>500</v>
      </c>
      <c r="G37" s="29">
        <f>SUM(G38,G40)</f>
        <v>500</v>
      </c>
      <c r="H37" s="29">
        <f>SUM(H38,H40)</f>
        <v>0</v>
      </c>
    </row>
    <row r="38" spans="1:8" ht="15">
      <c r="A38" s="54"/>
      <c r="B38" s="55">
        <v>75412</v>
      </c>
      <c r="C38" s="56" t="s">
        <v>61</v>
      </c>
      <c r="D38" s="56"/>
      <c r="E38" s="17">
        <f>SUM(E39)</f>
        <v>15000</v>
      </c>
      <c r="F38" s="17">
        <f>SUM(F39)</f>
        <v>0</v>
      </c>
      <c r="G38" s="18">
        <f>SUM(G39)</f>
        <v>0</v>
      </c>
      <c r="H38" s="18">
        <f>SUM(H39)</f>
        <v>0</v>
      </c>
    </row>
    <row r="39" spans="1:8" ht="24.75">
      <c r="A39" s="54"/>
      <c r="B39" s="57"/>
      <c r="C39" s="8">
        <v>6630</v>
      </c>
      <c r="D39" s="20" t="s">
        <v>62</v>
      </c>
      <c r="E39" s="58">
        <v>15000</v>
      </c>
      <c r="F39" s="58">
        <v>0</v>
      </c>
      <c r="G39" s="22">
        <f>F39</f>
        <v>0</v>
      </c>
      <c r="H39" s="22"/>
    </row>
    <row r="40" spans="1:8" ht="15">
      <c r="A40" s="54"/>
      <c r="B40" s="55">
        <v>75414</v>
      </c>
      <c r="C40" s="56" t="s">
        <v>63</v>
      </c>
      <c r="D40" s="56"/>
      <c r="E40" s="17">
        <f>SUM(E41:E41)</f>
        <v>300</v>
      </c>
      <c r="F40" s="17">
        <f>SUM(F41:F41)</f>
        <v>500</v>
      </c>
      <c r="G40" s="18">
        <f>SUM(G41:G41)</f>
        <v>500</v>
      </c>
      <c r="H40" s="18">
        <f>SUM(H41:H41)</f>
        <v>0</v>
      </c>
    </row>
    <row r="41" spans="1:8" ht="24.75">
      <c r="A41" s="59"/>
      <c r="B41" s="60"/>
      <c r="C41" s="26" t="s">
        <v>24</v>
      </c>
      <c r="D41" s="27" t="s">
        <v>25</v>
      </c>
      <c r="E41" s="38">
        <v>300</v>
      </c>
      <c r="F41" s="38">
        <v>500</v>
      </c>
      <c r="G41" s="39">
        <f>F41</f>
        <v>500</v>
      </c>
      <c r="H41" s="39"/>
    </row>
    <row r="42" spans="1:8" ht="43.5">
      <c r="A42" s="11" t="s">
        <v>64</v>
      </c>
      <c r="B42" s="61" t="s">
        <v>65</v>
      </c>
      <c r="C42" s="61"/>
      <c r="D42" s="61"/>
      <c r="E42" s="13">
        <f>SUM(E43,E45,E67,E69,E54)</f>
        <v>2076740</v>
      </c>
      <c r="F42" s="13">
        <f>SUM(F43,F45,F67,F69,F54)</f>
        <v>2414600</v>
      </c>
      <c r="G42" s="29">
        <f>SUM(G43,G45,G67,G69,G54)</f>
        <v>2414600</v>
      </c>
      <c r="H42" s="29">
        <f>SUM(H43,H45,H67,H69,H54)</f>
        <v>0</v>
      </c>
    </row>
    <row r="43" spans="1:8" ht="15">
      <c r="A43" s="51"/>
      <c r="B43" s="62">
        <v>75601</v>
      </c>
      <c r="C43" s="41" t="s">
        <v>66</v>
      </c>
      <c r="D43" s="41"/>
      <c r="E43" s="34">
        <f>SUM(E44:E44)</f>
        <v>2000</v>
      </c>
      <c r="F43" s="34">
        <f>SUM(F44:F44)</f>
        <v>2000</v>
      </c>
      <c r="G43" s="35">
        <f>SUM(G44:G44)</f>
        <v>2000</v>
      </c>
      <c r="H43" s="35">
        <f>SUM(H44:H44)</f>
        <v>0</v>
      </c>
    </row>
    <row r="44" spans="1:8" ht="24.75">
      <c r="A44" s="51"/>
      <c r="B44" s="63"/>
      <c r="C44" s="64" t="s">
        <v>67</v>
      </c>
      <c r="D44" s="27" t="s">
        <v>68</v>
      </c>
      <c r="E44" s="38">
        <v>2000</v>
      </c>
      <c r="F44" s="38">
        <v>2000</v>
      </c>
      <c r="G44" s="39">
        <f>F44</f>
        <v>2000</v>
      </c>
      <c r="H44" s="39"/>
    </row>
    <row r="45" spans="1:8" ht="36.75">
      <c r="A45" s="48"/>
      <c r="B45" s="47" t="s">
        <v>69</v>
      </c>
      <c r="C45" s="41" t="s">
        <v>70</v>
      </c>
      <c r="D45" s="41"/>
      <c r="E45" s="34">
        <f>SUM(E46:E53)</f>
        <v>747300</v>
      </c>
      <c r="F45" s="34">
        <f>SUM(F46:F53)</f>
        <v>669100</v>
      </c>
      <c r="G45" s="35">
        <f>SUM(G46:G53)</f>
        <v>669100</v>
      </c>
      <c r="H45" s="35">
        <f>SUM(H46:H53)</f>
        <v>0</v>
      </c>
    </row>
    <row r="46" spans="1:8" ht="12.75">
      <c r="A46" s="48"/>
      <c r="B46" s="65"/>
      <c r="C46" s="26" t="s">
        <v>71</v>
      </c>
      <c r="D46" s="66" t="s">
        <v>72</v>
      </c>
      <c r="E46" s="38">
        <v>550000</v>
      </c>
      <c r="F46" s="38">
        <v>450000</v>
      </c>
      <c r="G46" s="39">
        <f>F46</f>
        <v>450000</v>
      </c>
      <c r="H46" s="39"/>
    </row>
    <row r="47" spans="1:8" ht="12.75">
      <c r="A47" s="48"/>
      <c r="B47" s="65"/>
      <c r="C47" s="26" t="s">
        <v>73</v>
      </c>
      <c r="D47" s="66" t="s">
        <v>74</v>
      </c>
      <c r="E47" s="38">
        <v>10000</v>
      </c>
      <c r="F47" s="38">
        <v>20000</v>
      </c>
      <c r="G47" s="39">
        <f>F47</f>
        <v>20000</v>
      </c>
      <c r="H47" s="39"/>
    </row>
    <row r="48" spans="1:8" ht="12.75">
      <c r="A48" s="48"/>
      <c r="B48" s="65"/>
      <c r="C48" s="26" t="s">
        <v>75</v>
      </c>
      <c r="D48" s="66" t="s">
        <v>76</v>
      </c>
      <c r="E48" s="38">
        <v>180000</v>
      </c>
      <c r="F48" s="38">
        <v>190000</v>
      </c>
      <c r="G48" s="39">
        <f>F48</f>
        <v>190000</v>
      </c>
      <c r="H48" s="39"/>
    </row>
    <row r="49" spans="1:8" ht="12.75">
      <c r="A49" s="48"/>
      <c r="B49" s="65"/>
      <c r="C49" s="26" t="s">
        <v>77</v>
      </c>
      <c r="D49" s="66" t="s">
        <v>78</v>
      </c>
      <c r="E49" s="38">
        <v>2500</v>
      </c>
      <c r="F49" s="38">
        <v>3000</v>
      </c>
      <c r="G49" s="39">
        <f>F49</f>
        <v>3000</v>
      </c>
      <c r="H49" s="39"/>
    </row>
    <row r="50" spans="1:8" ht="12.75">
      <c r="A50" s="48"/>
      <c r="B50" s="65"/>
      <c r="C50" s="26" t="s">
        <v>79</v>
      </c>
      <c r="D50" s="45" t="s">
        <v>80</v>
      </c>
      <c r="E50" s="38">
        <v>1500</v>
      </c>
      <c r="F50" s="38">
        <v>2000</v>
      </c>
      <c r="G50" s="39">
        <f>F50</f>
        <v>2000</v>
      </c>
      <c r="H50" s="39"/>
    </row>
    <row r="51" spans="1:8" ht="12.75">
      <c r="A51" s="48"/>
      <c r="B51" s="65"/>
      <c r="C51" s="26" t="s">
        <v>81</v>
      </c>
      <c r="D51" s="67" t="s">
        <v>82</v>
      </c>
      <c r="E51" s="38">
        <v>1000</v>
      </c>
      <c r="F51" s="38">
        <v>2000</v>
      </c>
      <c r="G51" s="39">
        <f>F51</f>
        <v>2000</v>
      </c>
      <c r="H51" s="39"/>
    </row>
    <row r="52" spans="1:8" ht="12.75">
      <c r="A52" s="48"/>
      <c r="B52" s="65"/>
      <c r="C52" s="26" t="s">
        <v>83</v>
      </c>
      <c r="D52" s="67" t="s">
        <v>84</v>
      </c>
      <c r="E52" s="38">
        <v>100</v>
      </c>
      <c r="F52" s="38">
        <v>100</v>
      </c>
      <c r="G52" s="39">
        <f>F52</f>
        <v>100</v>
      </c>
      <c r="H52" s="39"/>
    </row>
    <row r="53" spans="1:8" ht="12.75">
      <c r="A53" s="68"/>
      <c r="B53" s="49"/>
      <c r="C53" s="26" t="s">
        <v>41</v>
      </c>
      <c r="D53" s="45" t="s">
        <v>42</v>
      </c>
      <c r="E53" s="38">
        <v>2200</v>
      </c>
      <c r="F53" s="38">
        <v>2000</v>
      </c>
      <c r="G53" s="39">
        <f>F53</f>
        <v>2000</v>
      </c>
      <c r="H53" s="39"/>
    </row>
    <row r="54" spans="1:8" ht="24.75">
      <c r="A54" s="69"/>
      <c r="B54" s="47" t="s">
        <v>85</v>
      </c>
      <c r="C54" s="41" t="s">
        <v>86</v>
      </c>
      <c r="D54" s="41"/>
      <c r="E54" s="34">
        <f>SUM(E55:E66)</f>
        <v>694600</v>
      </c>
      <c r="F54" s="34">
        <f>SUM(F55:F66)</f>
        <v>1031500</v>
      </c>
      <c r="G54" s="35">
        <f>SUM(G55:G66)</f>
        <v>1031500</v>
      </c>
      <c r="H54" s="35">
        <f>SUM(H55:H66)</f>
        <v>0</v>
      </c>
    </row>
    <row r="55" spans="1:8" ht="12.75">
      <c r="A55" s="48"/>
      <c r="B55" s="65"/>
      <c r="C55" s="26" t="s">
        <v>71</v>
      </c>
      <c r="D55" s="66" t="s">
        <v>72</v>
      </c>
      <c r="E55" s="38">
        <v>390000</v>
      </c>
      <c r="F55" s="38">
        <v>550000</v>
      </c>
      <c r="G55" s="39">
        <f>F55</f>
        <v>550000</v>
      </c>
      <c r="H55" s="39"/>
    </row>
    <row r="56" spans="1:8" ht="12.75">
      <c r="A56" s="48"/>
      <c r="B56" s="65"/>
      <c r="C56" s="26" t="s">
        <v>73</v>
      </c>
      <c r="D56" s="66" t="s">
        <v>74</v>
      </c>
      <c r="E56" s="38">
        <v>220000</v>
      </c>
      <c r="F56" s="38">
        <v>400000</v>
      </c>
      <c r="G56" s="39">
        <f>F56</f>
        <v>400000</v>
      </c>
      <c r="H56" s="39"/>
    </row>
    <row r="57" spans="1:8" ht="12.75">
      <c r="A57" s="48"/>
      <c r="B57" s="65"/>
      <c r="C57" s="26" t="s">
        <v>75</v>
      </c>
      <c r="D57" s="66" t="s">
        <v>76</v>
      </c>
      <c r="E57" s="38">
        <v>3000</v>
      </c>
      <c r="F57" s="38">
        <v>4000</v>
      </c>
      <c r="G57" s="39">
        <f>F57</f>
        <v>4000</v>
      </c>
      <c r="H57" s="39"/>
    </row>
    <row r="58" spans="1:8" ht="12.75">
      <c r="A58" s="48"/>
      <c r="B58" s="65"/>
      <c r="C58" s="26" t="s">
        <v>77</v>
      </c>
      <c r="D58" s="66" t="s">
        <v>78</v>
      </c>
      <c r="E58" s="38">
        <v>8000</v>
      </c>
      <c r="F58" s="38">
        <v>8000</v>
      </c>
      <c r="G58" s="39">
        <f>F58</f>
        <v>8000</v>
      </c>
      <c r="H58" s="39"/>
    </row>
    <row r="59" spans="1:8" ht="12.75">
      <c r="A59" s="48"/>
      <c r="B59" s="65"/>
      <c r="C59" s="26" t="s">
        <v>87</v>
      </c>
      <c r="D59" s="45" t="s">
        <v>88</v>
      </c>
      <c r="E59" s="38">
        <v>6600</v>
      </c>
      <c r="F59" s="38">
        <v>6000</v>
      </c>
      <c r="G59" s="39">
        <f>F59</f>
        <v>6000</v>
      </c>
      <c r="H59" s="39"/>
    </row>
    <row r="60" spans="1:8" ht="12.75">
      <c r="A60" s="48"/>
      <c r="B60" s="65"/>
      <c r="C60" s="26" t="s">
        <v>89</v>
      </c>
      <c r="D60" s="45" t="s">
        <v>90</v>
      </c>
      <c r="E60" s="38">
        <v>500</v>
      </c>
      <c r="F60" s="38"/>
      <c r="G60" s="39">
        <f>F60</f>
        <v>0</v>
      </c>
      <c r="H60" s="39"/>
    </row>
    <row r="61" spans="1:8" ht="12.75">
      <c r="A61" s="48"/>
      <c r="B61" s="65"/>
      <c r="C61" s="26" t="s">
        <v>91</v>
      </c>
      <c r="D61" s="45" t="s">
        <v>92</v>
      </c>
      <c r="E61" s="38">
        <v>500</v>
      </c>
      <c r="F61" s="38">
        <v>500</v>
      </c>
      <c r="G61" s="39">
        <f>F61</f>
        <v>500</v>
      </c>
      <c r="H61" s="39"/>
    </row>
    <row r="62" spans="1:8" ht="12.75">
      <c r="A62" s="48"/>
      <c r="B62" s="65"/>
      <c r="C62" s="26" t="s">
        <v>79</v>
      </c>
      <c r="D62" s="45" t="s">
        <v>80</v>
      </c>
      <c r="E62" s="38">
        <v>13500</v>
      </c>
      <c r="F62" s="38">
        <v>13000</v>
      </c>
      <c r="G62" s="39">
        <f>F62</f>
        <v>13000</v>
      </c>
      <c r="H62" s="39"/>
    </row>
    <row r="63" spans="1:8" ht="12.75">
      <c r="A63" s="48"/>
      <c r="B63" s="65"/>
      <c r="C63" s="26" t="s">
        <v>93</v>
      </c>
      <c r="D63" s="45" t="s">
        <v>94</v>
      </c>
      <c r="E63" s="38">
        <v>500</v>
      </c>
      <c r="F63" s="38"/>
      <c r="G63" s="39">
        <f>F63</f>
        <v>0</v>
      </c>
      <c r="H63" s="39"/>
    </row>
    <row r="64" spans="1:8" ht="12.75">
      <c r="A64" s="48"/>
      <c r="B64" s="65"/>
      <c r="C64" s="26" t="s">
        <v>81</v>
      </c>
      <c r="D64" s="67" t="s">
        <v>82</v>
      </c>
      <c r="E64" s="38">
        <v>40000</v>
      </c>
      <c r="F64" s="38">
        <v>40000</v>
      </c>
      <c r="G64" s="39">
        <f>F64</f>
        <v>40000</v>
      </c>
      <c r="H64" s="39"/>
    </row>
    <row r="65" spans="1:8" ht="12.75">
      <c r="A65" s="48"/>
      <c r="B65" s="65"/>
      <c r="C65" s="26" t="s">
        <v>83</v>
      </c>
      <c r="D65" s="67" t="s">
        <v>84</v>
      </c>
      <c r="E65" s="38">
        <v>5000</v>
      </c>
      <c r="F65" s="38">
        <v>5000</v>
      </c>
      <c r="G65" s="39">
        <f>F65</f>
        <v>5000</v>
      </c>
      <c r="H65" s="39"/>
    </row>
    <row r="66" spans="1:8" ht="12.75">
      <c r="A66" s="48"/>
      <c r="B66" s="49"/>
      <c r="C66" s="26" t="s">
        <v>41</v>
      </c>
      <c r="D66" s="45" t="s">
        <v>42</v>
      </c>
      <c r="E66" s="38">
        <v>7000</v>
      </c>
      <c r="F66" s="38">
        <v>5000</v>
      </c>
      <c r="G66" s="39">
        <f>F66</f>
        <v>5000</v>
      </c>
      <c r="H66" s="39"/>
    </row>
    <row r="67" spans="1:8" ht="13.5">
      <c r="A67" s="46"/>
      <c r="B67" s="70" t="s">
        <v>95</v>
      </c>
      <c r="C67" s="71" t="s">
        <v>96</v>
      </c>
      <c r="D67" s="71"/>
      <c r="E67" s="34">
        <f>SUM(E68:E68)</f>
        <v>10000</v>
      </c>
      <c r="F67" s="34">
        <f>SUM(F68:F68)</f>
        <v>10000</v>
      </c>
      <c r="G67" s="35">
        <f>SUM(G68:G68)</f>
        <v>10000</v>
      </c>
      <c r="H67" s="35">
        <f>SUM(H68:H68)</f>
        <v>0</v>
      </c>
    </row>
    <row r="68" spans="1:8" ht="12.75">
      <c r="A68" s="48"/>
      <c r="B68" s="65"/>
      <c r="C68" s="26" t="s">
        <v>97</v>
      </c>
      <c r="D68" s="72" t="s">
        <v>96</v>
      </c>
      <c r="E68" s="38">
        <v>10000</v>
      </c>
      <c r="F68" s="38">
        <v>10000</v>
      </c>
      <c r="G68" s="39">
        <f>F68</f>
        <v>10000</v>
      </c>
      <c r="H68" s="39"/>
    </row>
    <row r="69" spans="1:8" ht="13.5">
      <c r="A69" s="46"/>
      <c r="B69" s="47" t="s">
        <v>98</v>
      </c>
      <c r="C69" s="73" t="s">
        <v>99</v>
      </c>
      <c r="D69" s="73"/>
      <c r="E69" s="34">
        <f>SUM(E70:E71)</f>
        <v>622840</v>
      </c>
      <c r="F69" s="34">
        <f>SUM(F70:F71)</f>
        <v>702000</v>
      </c>
      <c r="G69" s="35">
        <f>SUM(G70:G71)</f>
        <v>702000</v>
      </c>
      <c r="H69" s="35">
        <f>SUM(H70:H71)</f>
        <v>0</v>
      </c>
    </row>
    <row r="70" spans="1:10" ht="12.75">
      <c r="A70" s="48"/>
      <c r="B70" s="65"/>
      <c r="C70" s="26" t="s">
        <v>100</v>
      </c>
      <c r="D70" s="72" t="s">
        <v>101</v>
      </c>
      <c r="E70" s="38">
        <v>620840</v>
      </c>
      <c r="F70" s="38">
        <v>700000</v>
      </c>
      <c r="G70" s="39">
        <f>F70</f>
        <v>700000</v>
      </c>
      <c r="H70" s="39"/>
      <c r="I70" s="30"/>
      <c r="J70" s="30"/>
    </row>
    <row r="71" spans="1:10" ht="12.75">
      <c r="A71" s="68"/>
      <c r="B71" s="49"/>
      <c r="C71" s="26" t="s">
        <v>102</v>
      </c>
      <c r="D71" s="72" t="s">
        <v>103</v>
      </c>
      <c r="E71" s="38">
        <v>2000</v>
      </c>
      <c r="F71" s="38">
        <v>2000</v>
      </c>
      <c r="G71" s="39">
        <f>F71</f>
        <v>2000</v>
      </c>
      <c r="H71" s="39"/>
      <c r="I71" s="30"/>
      <c r="J71" s="30"/>
    </row>
    <row r="72" spans="1:10" ht="15">
      <c r="A72" s="11" t="s">
        <v>104</v>
      </c>
      <c r="B72" s="74" t="s">
        <v>105</v>
      </c>
      <c r="C72" s="74"/>
      <c r="D72" s="74"/>
      <c r="E72" s="13">
        <f>SUM(E73,E79,E75,E77)</f>
        <v>2464097</v>
      </c>
      <c r="F72" s="13">
        <f>SUM(F73,F79,F75,F77)</f>
        <v>2670422</v>
      </c>
      <c r="G72" s="29">
        <f>SUM(G73,G79,G75,G77)</f>
        <v>2670422</v>
      </c>
      <c r="H72" s="29">
        <f>SUM(H73,H79,H75,H77)</f>
        <v>0</v>
      </c>
      <c r="I72" s="30"/>
      <c r="J72" s="30"/>
    </row>
    <row r="73" spans="1:10" ht="12.75">
      <c r="A73" s="75"/>
      <c r="B73" s="32" t="s">
        <v>106</v>
      </c>
      <c r="C73" s="33" t="s">
        <v>107</v>
      </c>
      <c r="D73" s="33"/>
      <c r="E73" s="34">
        <f>SUM(E74)</f>
        <v>1811044</v>
      </c>
      <c r="F73" s="34">
        <f>SUM(F74)</f>
        <v>1864281</v>
      </c>
      <c r="G73" s="35">
        <f>SUM(G74)</f>
        <v>1864281</v>
      </c>
      <c r="H73" s="35">
        <f>SUM(H74)</f>
        <v>0</v>
      </c>
      <c r="I73" s="30"/>
      <c r="J73" s="30"/>
    </row>
    <row r="74" spans="1:10" ht="12.75">
      <c r="A74" s="76"/>
      <c r="B74" s="44"/>
      <c r="C74" s="26" t="s">
        <v>108</v>
      </c>
      <c r="D74" s="72" t="s">
        <v>109</v>
      </c>
      <c r="E74" s="38">
        <v>1811044</v>
      </c>
      <c r="F74" s="38">
        <v>1864281</v>
      </c>
      <c r="G74" s="39">
        <f>F74</f>
        <v>1864281</v>
      </c>
      <c r="H74" s="39"/>
      <c r="I74" s="30"/>
      <c r="J74" s="30"/>
    </row>
    <row r="75" spans="1:10" ht="12.75">
      <c r="A75" s="76"/>
      <c r="B75" s="32" t="s">
        <v>110</v>
      </c>
      <c r="C75" s="33" t="s">
        <v>111</v>
      </c>
      <c r="D75" s="33"/>
      <c r="E75" s="34">
        <f>SUM(E76)</f>
        <v>586969</v>
      </c>
      <c r="F75" s="34">
        <f>SUM(F76)</f>
        <v>722511</v>
      </c>
      <c r="G75" s="35">
        <f>SUM(G76)</f>
        <v>722511</v>
      </c>
      <c r="H75" s="35">
        <f>SUM(H76)</f>
        <v>0</v>
      </c>
      <c r="I75" s="30"/>
      <c r="J75" s="30"/>
    </row>
    <row r="76" spans="1:10" ht="12.75">
      <c r="A76" s="76"/>
      <c r="B76" s="44"/>
      <c r="C76" s="26" t="s">
        <v>108</v>
      </c>
      <c r="D76" s="72" t="s">
        <v>109</v>
      </c>
      <c r="E76" s="38">
        <v>586969</v>
      </c>
      <c r="F76" s="38">
        <v>722511</v>
      </c>
      <c r="G76" s="39">
        <f>F76</f>
        <v>722511</v>
      </c>
      <c r="H76" s="39"/>
      <c r="I76" s="30"/>
      <c r="J76" s="30"/>
    </row>
    <row r="77" spans="1:10" ht="12.75">
      <c r="A77" s="76"/>
      <c r="B77" s="32" t="s">
        <v>112</v>
      </c>
      <c r="C77" s="33" t="s">
        <v>113</v>
      </c>
      <c r="D77" s="33"/>
      <c r="E77" s="34">
        <f>SUM(E78:E78)</f>
        <v>20000</v>
      </c>
      <c r="F77" s="34">
        <f>SUM(F78:F78)</f>
        <v>20000</v>
      </c>
      <c r="G77" s="35">
        <f>SUM(G78:G78)</f>
        <v>20000</v>
      </c>
      <c r="H77" s="35">
        <f>SUM(H78:H78)</f>
        <v>0</v>
      </c>
      <c r="I77" s="30"/>
      <c r="J77" s="30"/>
    </row>
    <row r="78" spans="1:10" ht="12.75">
      <c r="A78" s="76"/>
      <c r="B78" s="37"/>
      <c r="C78" s="26" t="s">
        <v>114</v>
      </c>
      <c r="D78" s="72" t="s">
        <v>115</v>
      </c>
      <c r="E78" s="38">
        <v>20000</v>
      </c>
      <c r="F78" s="38">
        <v>20000</v>
      </c>
      <c r="G78" s="39">
        <f>F78</f>
        <v>20000</v>
      </c>
      <c r="H78" s="39"/>
      <c r="I78"/>
      <c r="J78"/>
    </row>
    <row r="79" spans="1:10" ht="12.75">
      <c r="A79" s="75"/>
      <c r="B79" s="32" t="s">
        <v>116</v>
      </c>
      <c r="C79" s="33" t="s">
        <v>117</v>
      </c>
      <c r="D79" s="33"/>
      <c r="E79" s="34">
        <f>SUM(E80)</f>
        <v>46084</v>
      </c>
      <c r="F79" s="34">
        <f>SUM(F80)</f>
        <v>63630</v>
      </c>
      <c r="G79" s="35">
        <f>SUM(G80)</f>
        <v>63630</v>
      </c>
      <c r="H79" s="35">
        <f>SUM(H80)</f>
        <v>0</v>
      </c>
      <c r="I79" s="30"/>
      <c r="J79" s="30"/>
    </row>
    <row r="80" spans="1:10" ht="12.75">
      <c r="A80" s="77"/>
      <c r="B80" s="37"/>
      <c r="C80" s="78">
        <v>2920</v>
      </c>
      <c r="D80" s="72" t="s">
        <v>109</v>
      </c>
      <c r="E80" s="38">
        <v>46084</v>
      </c>
      <c r="F80" s="38">
        <v>63630</v>
      </c>
      <c r="G80" s="39">
        <f>F80</f>
        <v>63630</v>
      </c>
      <c r="H80" s="39"/>
      <c r="I80" s="30"/>
      <c r="J80" s="30"/>
    </row>
    <row r="81" spans="1:10" ht="15">
      <c r="A81" s="79">
        <v>801</v>
      </c>
      <c r="B81" s="80" t="s">
        <v>118</v>
      </c>
      <c r="C81" s="80"/>
      <c r="D81" s="80"/>
      <c r="E81" s="81">
        <f>SUM(E82,E84)</f>
        <v>19204</v>
      </c>
      <c r="F81" s="81">
        <f>SUM(F82,F84)</f>
        <v>6000</v>
      </c>
      <c r="G81" s="82">
        <f>SUM(G82,G84)</f>
        <v>6000</v>
      </c>
      <c r="H81" s="82">
        <f>SUM(H82,H84)</f>
        <v>0</v>
      </c>
      <c r="I81" s="30"/>
      <c r="J81" s="30"/>
    </row>
    <row r="82" spans="1:10" ht="12.75">
      <c r="A82" s="76"/>
      <c r="B82" s="83">
        <v>80101</v>
      </c>
      <c r="C82" s="84" t="s">
        <v>119</v>
      </c>
      <c r="D82" s="84"/>
      <c r="E82" s="34">
        <f>SUM(E83)</f>
        <v>5934</v>
      </c>
      <c r="F82" s="34">
        <f>SUM(F83)</f>
        <v>0</v>
      </c>
      <c r="G82" s="35">
        <f>SUM(G83)</f>
        <v>0</v>
      </c>
      <c r="H82" s="35">
        <f>SUM(H83)</f>
        <v>0</v>
      </c>
      <c r="I82" s="30"/>
      <c r="J82" s="30"/>
    </row>
    <row r="83" spans="1:10" ht="24.75">
      <c r="A83" s="76"/>
      <c r="B83" s="37"/>
      <c r="C83" s="85" t="s">
        <v>120</v>
      </c>
      <c r="D83" s="86" t="s">
        <v>121</v>
      </c>
      <c r="E83" s="38">
        <v>5934</v>
      </c>
      <c r="F83" s="38"/>
      <c r="G83" s="39">
        <f>F83</f>
        <v>0</v>
      </c>
      <c r="H83" s="39"/>
      <c r="I83" s="30"/>
      <c r="J83" s="30"/>
    </row>
    <row r="84" spans="1:10" ht="12.75">
      <c r="A84" s="76"/>
      <c r="B84" s="87">
        <v>80195</v>
      </c>
      <c r="C84" s="88" t="s">
        <v>23</v>
      </c>
      <c r="D84" s="88"/>
      <c r="E84" s="34">
        <f>SUM(E85)</f>
        <v>13270</v>
      </c>
      <c r="F84" s="34">
        <f>SUM(F85)</f>
        <v>6000</v>
      </c>
      <c r="G84" s="35">
        <f>SUM(G85)</f>
        <v>6000</v>
      </c>
      <c r="H84" s="35">
        <f>SUM(H85)</f>
        <v>0</v>
      </c>
      <c r="I84" s="30"/>
      <c r="J84" s="30"/>
    </row>
    <row r="85" spans="1:10" ht="24.75">
      <c r="A85" s="76"/>
      <c r="B85" s="37"/>
      <c r="C85" s="85" t="s">
        <v>120</v>
      </c>
      <c r="D85" s="86" t="s">
        <v>121</v>
      </c>
      <c r="E85" s="38">
        <v>13270</v>
      </c>
      <c r="F85" s="38">
        <v>6000</v>
      </c>
      <c r="G85" s="39">
        <f>F85</f>
        <v>6000</v>
      </c>
      <c r="H85" s="39"/>
      <c r="I85" s="30"/>
      <c r="J85" s="30"/>
    </row>
    <row r="86" spans="1:8" ht="15">
      <c r="A86" s="11" t="s">
        <v>122</v>
      </c>
      <c r="B86" s="74" t="s">
        <v>123</v>
      </c>
      <c r="C86" s="74"/>
      <c r="D86" s="74"/>
      <c r="E86" s="13">
        <f>SUM(E87)</f>
        <v>40000</v>
      </c>
      <c r="F86" s="13">
        <f>SUM(F87)</f>
        <v>40000</v>
      </c>
      <c r="G86" s="29">
        <f>SUM(G87)</f>
        <v>40000</v>
      </c>
      <c r="H86" s="29">
        <f>SUM(H87)</f>
        <v>0</v>
      </c>
    </row>
    <row r="87" spans="1:8" ht="12.75">
      <c r="A87" s="75"/>
      <c r="B87" s="32" t="s">
        <v>124</v>
      </c>
      <c r="C87" s="33" t="s">
        <v>125</v>
      </c>
      <c r="D87" s="33"/>
      <c r="E87" s="34">
        <f>SUM(E88)</f>
        <v>40000</v>
      </c>
      <c r="F87" s="34">
        <f>SUM(F88)</f>
        <v>40000</v>
      </c>
      <c r="G87" s="35">
        <f>SUM(G88)</f>
        <v>40000</v>
      </c>
      <c r="H87" s="35">
        <f>SUM(H88)</f>
        <v>0</v>
      </c>
    </row>
    <row r="88" spans="1:8" ht="12.75">
      <c r="A88" s="77"/>
      <c r="B88" s="37"/>
      <c r="C88" s="26" t="s">
        <v>126</v>
      </c>
      <c r="D88" s="72" t="s">
        <v>127</v>
      </c>
      <c r="E88" s="38">
        <v>40000</v>
      </c>
      <c r="F88" s="38">
        <v>40000</v>
      </c>
      <c r="G88" s="39">
        <f>F88</f>
        <v>40000</v>
      </c>
      <c r="H88" s="39"/>
    </row>
    <row r="89" spans="1:8" ht="15">
      <c r="A89" s="11" t="s">
        <v>128</v>
      </c>
      <c r="B89" s="74" t="s">
        <v>129</v>
      </c>
      <c r="C89" s="74"/>
      <c r="D89" s="74"/>
      <c r="E89" s="13">
        <f>SUM(E90,E92,E94,E97,E101,E99)</f>
        <v>1513756</v>
      </c>
      <c r="F89" s="13">
        <f>SUM(F90,F92,F94,F97,F101,F99)</f>
        <v>1330000</v>
      </c>
      <c r="G89" s="29">
        <f>SUM(G90,G92,G94,G97,G101,G99)</f>
        <v>1330000</v>
      </c>
      <c r="H89" s="29">
        <f>SUM(H90,H92,H94,H97,H101,H99)</f>
        <v>0</v>
      </c>
    </row>
    <row r="90" spans="1:8" ht="24.75">
      <c r="A90" s="42"/>
      <c r="B90" s="32" t="s">
        <v>130</v>
      </c>
      <c r="C90" s="41" t="s">
        <v>131</v>
      </c>
      <c r="D90" s="41"/>
      <c r="E90" s="34">
        <f>SUM(E91:E91)</f>
        <v>1050000</v>
      </c>
      <c r="F90" s="34">
        <f>SUM(F91:F91)</f>
        <v>995000</v>
      </c>
      <c r="G90" s="35">
        <f>SUM(G91:G91)</f>
        <v>995000</v>
      </c>
      <c r="H90" s="35">
        <f>SUM(H91:H91)</f>
        <v>0</v>
      </c>
    </row>
    <row r="91" spans="1:8" ht="24.75">
      <c r="A91" s="42"/>
      <c r="B91" s="44"/>
      <c r="C91" s="78">
        <v>2010</v>
      </c>
      <c r="D91" s="27" t="s">
        <v>25</v>
      </c>
      <c r="E91" s="38">
        <v>1050000</v>
      </c>
      <c r="F91" s="38">
        <v>995000</v>
      </c>
      <c r="G91" s="39">
        <f>F91</f>
        <v>995000</v>
      </c>
      <c r="H91" s="39"/>
    </row>
    <row r="92" spans="1:8" ht="24.75">
      <c r="A92" s="42"/>
      <c r="B92" s="47" t="s">
        <v>132</v>
      </c>
      <c r="C92" s="89" t="s">
        <v>133</v>
      </c>
      <c r="D92" s="89"/>
      <c r="E92" s="34">
        <f>SUM(E93)</f>
        <v>5500</v>
      </c>
      <c r="F92" s="34">
        <f>SUM(F93)</f>
        <v>6000</v>
      </c>
      <c r="G92" s="35">
        <f>SUM(G93)</f>
        <v>6000</v>
      </c>
      <c r="H92" s="35">
        <f>SUM(H93)</f>
        <v>0</v>
      </c>
    </row>
    <row r="93" spans="1:8" ht="24.75">
      <c r="A93" s="42"/>
      <c r="B93" s="90"/>
      <c r="C93" s="26" t="s">
        <v>24</v>
      </c>
      <c r="D93" s="27" t="s">
        <v>25</v>
      </c>
      <c r="E93" s="38">
        <v>5500</v>
      </c>
      <c r="F93" s="38">
        <v>6000</v>
      </c>
      <c r="G93" s="39">
        <f>F93</f>
        <v>6000</v>
      </c>
      <c r="H93" s="39"/>
    </row>
    <row r="94" spans="1:8" ht="12.75">
      <c r="A94" s="75"/>
      <c r="B94" s="32" t="s">
        <v>134</v>
      </c>
      <c r="C94" s="73" t="s">
        <v>135</v>
      </c>
      <c r="D94" s="73"/>
      <c r="E94" s="34">
        <f>SUM(E95:E96)</f>
        <v>296000</v>
      </c>
      <c r="F94" s="34">
        <f>SUM(F95:F96)</f>
        <v>236000</v>
      </c>
      <c r="G94" s="35">
        <f>SUM(G95:G96)</f>
        <v>236000</v>
      </c>
      <c r="H94" s="35">
        <f>SUM(H95:H96)</f>
        <v>0</v>
      </c>
    </row>
    <row r="95" spans="1:8" ht="24.75">
      <c r="A95" s="76"/>
      <c r="B95" s="44"/>
      <c r="C95" s="26" t="s">
        <v>24</v>
      </c>
      <c r="D95" s="27" t="s">
        <v>25</v>
      </c>
      <c r="E95" s="38">
        <v>66000</v>
      </c>
      <c r="F95" s="38">
        <v>57000</v>
      </c>
      <c r="G95" s="39">
        <f>F95</f>
        <v>57000</v>
      </c>
      <c r="H95" s="39"/>
    </row>
    <row r="96" spans="1:8" ht="24.75">
      <c r="A96" s="76"/>
      <c r="B96" s="37"/>
      <c r="C96" s="85" t="s">
        <v>120</v>
      </c>
      <c r="D96" s="86" t="s">
        <v>121</v>
      </c>
      <c r="E96" s="38">
        <v>230000</v>
      </c>
      <c r="F96" s="38">
        <v>179000</v>
      </c>
      <c r="G96" s="39">
        <f>F96</f>
        <v>179000</v>
      </c>
      <c r="H96" s="39"/>
    </row>
    <row r="97" spans="1:8" ht="12.75">
      <c r="A97" s="75"/>
      <c r="B97" s="32" t="s">
        <v>136</v>
      </c>
      <c r="C97" s="33" t="s">
        <v>137</v>
      </c>
      <c r="D97" s="33"/>
      <c r="E97" s="34">
        <f>SUM(E98:E98)</f>
        <v>52212</v>
      </c>
      <c r="F97" s="34">
        <f>SUM(F98:F98)</f>
        <v>51000</v>
      </c>
      <c r="G97" s="35">
        <f>SUM(G98:G98)</f>
        <v>51000</v>
      </c>
      <c r="H97" s="35">
        <f>SUM(H98:H98)</f>
        <v>0</v>
      </c>
    </row>
    <row r="98" spans="1:8" ht="24.75">
      <c r="A98" s="75"/>
      <c r="B98" s="37"/>
      <c r="C98" s="85" t="s">
        <v>120</v>
      </c>
      <c r="D98" s="86" t="s">
        <v>121</v>
      </c>
      <c r="E98" s="38">
        <v>52212</v>
      </c>
      <c r="F98" s="38">
        <v>51000</v>
      </c>
      <c r="G98" s="39">
        <f>F98</f>
        <v>51000</v>
      </c>
      <c r="H98" s="39"/>
    </row>
    <row r="99" spans="1:8" ht="12.75">
      <c r="A99" s="75"/>
      <c r="B99" s="32" t="s">
        <v>138</v>
      </c>
      <c r="C99" s="33" t="s">
        <v>139</v>
      </c>
      <c r="D99" s="33"/>
      <c r="E99" s="34">
        <f>SUM(E100:E100)</f>
        <v>10164</v>
      </c>
      <c r="F99" s="34">
        <f>SUM(F100:F100)</f>
        <v>0</v>
      </c>
      <c r="G99" s="35">
        <f>SUM(G100:G100)</f>
        <v>0</v>
      </c>
      <c r="H99" s="35">
        <f>SUM(H100:H100)</f>
        <v>0</v>
      </c>
    </row>
    <row r="100" spans="1:8" ht="24.75">
      <c r="A100" s="75"/>
      <c r="B100" s="37"/>
      <c r="C100" s="26" t="s">
        <v>24</v>
      </c>
      <c r="D100" s="27" t="s">
        <v>25</v>
      </c>
      <c r="E100" s="91">
        <v>10164</v>
      </c>
      <c r="F100" s="38"/>
      <c r="G100" s="39">
        <f>F100</f>
        <v>0</v>
      </c>
      <c r="H100" s="39"/>
    </row>
    <row r="101" spans="1:8" ht="12.75">
      <c r="A101" s="75"/>
      <c r="B101" s="92">
        <v>85295</v>
      </c>
      <c r="C101" s="33" t="s">
        <v>23</v>
      </c>
      <c r="D101" s="33"/>
      <c r="E101" s="93">
        <f>SUM(E102:E102)</f>
        <v>99880</v>
      </c>
      <c r="F101" s="93">
        <f>SUM(F102:F102)</f>
        <v>42000</v>
      </c>
      <c r="G101" s="94">
        <f>SUM(G102:G102)</f>
        <v>42000</v>
      </c>
      <c r="H101" s="94">
        <f>SUM(H102:H102)</f>
        <v>0</v>
      </c>
    </row>
    <row r="102" spans="1:8" ht="24.75">
      <c r="A102" s="75"/>
      <c r="B102" s="95"/>
      <c r="C102" s="85" t="s">
        <v>120</v>
      </c>
      <c r="D102" s="86" t="s">
        <v>121</v>
      </c>
      <c r="E102" s="38">
        <v>99880</v>
      </c>
      <c r="F102" s="38">
        <v>42000</v>
      </c>
      <c r="G102" s="39">
        <f>F102</f>
        <v>42000</v>
      </c>
      <c r="H102" s="39"/>
    </row>
    <row r="103" spans="1:8" ht="15">
      <c r="A103" s="53">
        <v>854</v>
      </c>
      <c r="B103" s="28" t="s">
        <v>140</v>
      </c>
      <c r="C103" s="28"/>
      <c r="D103" s="28"/>
      <c r="E103" s="13">
        <f>SUM(E104)</f>
        <v>106280</v>
      </c>
      <c r="F103" s="13">
        <f>SUM(F104)</f>
        <v>0</v>
      </c>
      <c r="G103" s="29">
        <f>SUM(G104)</f>
        <v>0</v>
      </c>
      <c r="H103" s="29">
        <f>SUM(H104)</f>
        <v>0</v>
      </c>
    </row>
    <row r="104" spans="1:8" ht="12.75">
      <c r="A104" s="75"/>
      <c r="B104" s="55">
        <v>85415</v>
      </c>
      <c r="C104" s="56" t="s">
        <v>141</v>
      </c>
      <c r="D104" s="56"/>
      <c r="E104" s="23">
        <f>SUM(E105)</f>
        <v>106280</v>
      </c>
      <c r="F104" s="23">
        <f>SUM(F105)</f>
        <v>0</v>
      </c>
      <c r="G104" s="24">
        <f>SUM(G105)</f>
        <v>0</v>
      </c>
      <c r="H104" s="24">
        <f>SUM(H105)</f>
        <v>0</v>
      </c>
    </row>
    <row r="105" spans="1:8" ht="24.75">
      <c r="A105" s="75"/>
      <c r="B105" s="60"/>
      <c r="C105" s="85" t="s">
        <v>120</v>
      </c>
      <c r="D105" s="86" t="s">
        <v>121</v>
      </c>
      <c r="E105" s="21">
        <v>106280</v>
      </c>
      <c r="F105" s="38"/>
      <c r="G105" s="39">
        <f>F105</f>
        <v>0</v>
      </c>
      <c r="H105" s="39"/>
    </row>
    <row r="106" spans="1:8" ht="15">
      <c r="A106" s="11" t="s">
        <v>142</v>
      </c>
      <c r="B106" s="74" t="s">
        <v>143</v>
      </c>
      <c r="C106" s="74"/>
      <c r="D106" s="74"/>
      <c r="E106" s="13">
        <f>SUM(E107)</f>
        <v>125400</v>
      </c>
      <c r="F106" s="13">
        <f>SUM(F107)</f>
        <v>132000</v>
      </c>
      <c r="G106" s="13">
        <f>SUM(G107)</f>
        <v>132000</v>
      </c>
      <c r="H106" s="13">
        <f>SUM(H107)</f>
        <v>0</v>
      </c>
    </row>
    <row r="107" spans="1:8" ht="12.75">
      <c r="A107" s="75"/>
      <c r="B107" s="32" t="s">
        <v>144</v>
      </c>
      <c r="C107" s="33" t="s">
        <v>145</v>
      </c>
      <c r="D107" s="33"/>
      <c r="E107" s="34">
        <f>SUM(E108:E110)</f>
        <v>125400</v>
      </c>
      <c r="F107" s="34">
        <f>SUM(F108:F110)</f>
        <v>132000</v>
      </c>
      <c r="G107" s="35">
        <f>SUM(G108:G110)</f>
        <v>132000</v>
      </c>
      <c r="H107" s="35">
        <f>SUM(H108:H110)</f>
        <v>0</v>
      </c>
    </row>
    <row r="108" spans="1:8" ht="12.75">
      <c r="A108" s="75"/>
      <c r="B108" s="42"/>
      <c r="C108" s="26" t="s">
        <v>146</v>
      </c>
      <c r="D108" s="72" t="s">
        <v>147</v>
      </c>
      <c r="E108" s="38">
        <v>120000</v>
      </c>
      <c r="F108" s="38">
        <v>130000</v>
      </c>
      <c r="G108" s="39">
        <f>F108</f>
        <v>130000</v>
      </c>
      <c r="H108" s="39"/>
    </row>
    <row r="109" spans="1:8" ht="12.75">
      <c r="A109" s="75"/>
      <c r="B109" s="42"/>
      <c r="C109" s="26" t="s">
        <v>41</v>
      </c>
      <c r="D109" s="45" t="s">
        <v>42</v>
      </c>
      <c r="E109" s="38">
        <v>400</v>
      </c>
      <c r="F109" s="38"/>
      <c r="G109" s="39">
        <f>F109</f>
        <v>0</v>
      </c>
      <c r="H109" s="39"/>
    </row>
    <row r="110" spans="1:8" ht="12.75">
      <c r="A110" s="75"/>
      <c r="B110" s="96"/>
      <c r="C110" s="97" t="s">
        <v>114</v>
      </c>
      <c r="D110" s="27" t="s">
        <v>115</v>
      </c>
      <c r="E110" s="38">
        <v>5000</v>
      </c>
      <c r="F110" s="38">
        <v>2000</v>
      </c>
      <c r="G110" s="39">
        <f>F110</f>
        <v>2000</v>
      </c>
      <c r="H110" s="39"/>
    </row>
    <row r="111" spans="1:10" ht="17.25">
      <c r="A111" s="98" t="s">
        <v>148</v>
      </c>
      <c r="B111" s="98"/>
      <c r="C111" s="98"/>
      <c r="D111" s="98"/>
      <c r="E111" s="99">
        <f>SUM(E106,E89,E86,E72,E42,E37,E32,E29,E20,E17,E10,E26,E81,E103)</f>
        <v>7668721.54</v>
      </c>
      <c r="F111" s="99">
        <f>SUM(F106,F89,F86,F72,F42,F37,F32,F29,F20,F17,F10,F26,F81,F103)</f>
        <v>7791014</v>
      </c>
      <c r="G111" s="100">
        <f>SUM(G106,G89,G86,G72,G42,G37,G32,G29,G20,G17,G10,G26,G81,G103)</f>
        <v>6619514</v>
      </c>
      <c r="H111" s="100">
        <f>SUM(H106,H89,H86,H72,H42,H37,H32,H29,H20,H17,H10,H26,H81,H103)</f>
        <v>1171500</v>
      </c>
      <c r="J111"/>
    </row>
    <row r="112" ht="12.75">
      <c r="H112" s="30"/>
    </row>
  </sheetData>
  <mergeCells count="52">
    <mergeCell ref="A5:E5"/>
    <mergeCell ref="A7:C7"/>
    <mergeCell ref="D7:D8"/>
    <mergeCell ref="E7:E8"/>
    <mergeCell ref="F7:F8"/>
    <mergeCell ref="G7:H7"/>
    <mergeCell ref="B10:D10"/>
    <mergeCell ref="C11:D11"/>
    <mergeCell ref="C13:D13"/>
    <mergeCell ref="C15:D15"/>
    <mergeCell ref="B17:D17"/>
    <mergeCell ref="C18:D18"/>
    <mergeCell ref="B20:D20"/>
    <mergeCell ref="C21:D21"/>
    <mergeCell ref="B26:D26"/>
    <mergeCell ref="C27:D27"/>
    <mergeCell ref="B29:D29"/>
    <mergeCell ref="C30:D30"/>
    <mergeCell ref="B32:D32"/>
    <mergeCell ref="C33:D33"/>
    <mergeCell ref="C35:D35"/>
    <mergeCell ref="B37:D37"/>
    <mergeCell ref="C38:D38"/>
    <mergeCell ref="C40:D40"/>
    <mergeCell ref="B42:D42"/>
    <mergeCell ref="C43:D43"/>
    <mergeCell ref="C45:D45"/>
    <mergeCell ref="C54:D54"/>
    <mergeCell ref="C67:D67"/>
    <mergeCell ref="C69:D69"/>
    <mergeCell ref="B72:D72"/>
    <mergeCell ref="C73:D73"/>
    <mergeCell ref="C75:D75"/>
    <mergeCell ref="C77:D77"/>
    <mergeCell ref="C79:D79"/>
    <mergeCell ref="B81:D81"/>
    <mergeCell ref="C82:D82"/>
    <mergeCell ref="C84:D84"/>
    <mergeCell ref="B86:D86"/>
    <mergeCell ref="C87:D87"/>
    <mergeCell ref="B89:D89"/>
    <mergeCell ref="C90:D90"/>
    <mergeCell ref="C92:D92"/>
    <mergeCell ref="C94:D94"/>
    <mergeCell ref="C97:D97"/>
    <mergeCell ref="C99:D99"/>
    <mergeCell ref="C101:D101"/>
    <mergeCell ref="B103:D103"/>
    <mergeCell ref="C104:D104"/>
    <mergeCell ref="B106:D106"/>
    <mergeCell ref="C107:D107"/>
    <mergeCell ref="A111:D111"/>
  </mergeCells>
  <printOptions horizontalCentered="1"/>
  <pageMargins left="0.7875" right="0.39375" top="0.7875" bottom="0.2361111111111111" header="0.5118055555555555" footer="0.5118055555555555"/>
  <pageSetup horizontalDpi="300" verticalDpi="300" orientation="landscape" paperSize="9" scale="74"/>
  <rowBreaks count="2" manualBreakCount="2">
    <brk id="36" max="255" man="1"/>
    <brk id="80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55" workbookViewId="0" topLeftCell="A1">
      <selection activeCell="E4" sqref="E4"/>
    </sheetView>
  </sheetViews>
  <sheetFormatPr defaultColWidth="9.00390625" defaultRowHeight="12.75"/>
  <cols>
    <col min="1" max="3" width="12.25390625" style="2" customWidth="1"/>
    <col min="4" max="4" width="38.50390625" style="2" customWidth="1"/>
    <col min="5" max="5" width="32.25390625" style="2" customWidth="1"/>
    <col min="6" max="254" width="9.00390625" style="2" customWidth="1"/>
  </cols>
  <sheetData>
    <row r="1" spans="1:5" ht="12.75">
      <c r="A1" s="244"/>
      <c r="B1" s="244"/>
      <c r="C1" s="244"/>
      <c r="D1" s="244"/>
      <c r="E1" s="3" t="s">
        <v>444</v>
      </c>
    </row>
    <row r="2" spans="1:5" ht="12.75">
      <c r="A2" s="244"/>
      <c r="B2" s="244"/>
      <c r="C2" s="244"/>
      <c r="D2" s="244"/>
      <c r="E2" s="3" t="s">
        <v>1</v>
      </c>
    </row>
    <row r="3" spans="1:5" ht="12.75">
      <c r="A3" s="244"/>
      <c r="B3" s="244"/>
      <c r="C3" s="244"/>
      <c r="D3" s="244"/>
      <c r="E3" s="4" t="s">
        <v>150</v>
      </c>
    </row>
    <row r="4" spans="1:5" ht="12.75">
      <c r="A4" s="244"/>
      <c r="B4" s="244"/>
      <c r="C4" s="244"/>
      <c r="D4" s="244"/>
      <c r="E4" s="244"/>
    </row>
    <row r="5" spans="1:5" ht="12.75">
      <c r="A5" s="244"/>
      <c r="B5" s="244"/>
      <c r="C5" s="244"/>
      <c r="D5" s="244"/>
      <c r="E5" s="244"/>
    </row>
    <row r="6" spans="1:5" ht="17.25">
      <c r="A6" s="374" t="s">
        <v>445</v>
      </c>
      <c r="B6" s="374"/>
      <c r="C6" s="374"/>
      <c r="D6" s="374"/>
      <c r="E6" s="374"/>
    </row>
    <row r="7" spans="1:5" ht="12.75">
      <c r="A7" s="244"/>
      <c r="B7" s="244"/>
      <c r="C7" s="244"/>
      <c r="D7" s="244"/>
      <c r="E7" s="376" t="s">
        <v>442</v>
      </c>
    </row>
    <row r="8" spans="1:5" ht="12.75">
      <c r="A8" s="244"/>
      <c r="B8" s="244"/>
      <c r="C8" s="244"/>
      <c r="D8" s="244"/>
      <c r="E8" s="247"/>
    </row>
    <row r="9" spans="1:5" ht="30" customHeight="1">
      <c r="A9" s="260" t="s">
        <v>428</v>
      </c>
      <c r="B9" s="260" t="s">
        <v>429</v>
      </c>
      <c r="C9" s="260" t="s">
        <v>12</v>
      </c>
      <c r="D9" s="260" t="s">
        <v>446</v>
      </c>
      <c r="E9" s="260" t="s">
        <v>375</v>
      </c>
    </row>
    <row r="10" spans="1:5" ht="12.75">
      <c r="A10" s="270">
        <v>1</v>
      </c>
      <c r="B10" s="270">
        <v>2</v>
      </c>
      <c r="C10" s="270">
        <v>3</v>
      </c>
      <c r="D10" s="270">
        <v>1</v>
      </c>
      <c r="E10" s="270">
        <v>2</v>
      </c>
    </row>
    <row r="11" spans="1:5" ht="39.75" customHeight="1">
      <c r="A11" s="392">
        <v>921</v>
      </c>
      <c r="B11" s="439" t="s">
        <v>447</v>
      </c>
      <c r="C11" s="440">
        <v>2480</v>
      </c>
      <c r="D11" s="441" t="s">
        <v>448</v>
      </c>
      <c r="E11" s="442">
        <v>270000</v>
      </c>
    </row>
    <row r="12" spans="1:5" ht="39.75" customHeight="1">
      <c r="A12" s="443"/>
      <c r="B12" s="439" t="s">
        <v>449</v>
      </c>
      <c r="C12" s="440">
        <v>2480</v>
      </c>
      <c r="D12" s="441" t="s">
        <v>450</v>
      </c>
      <c r="E12" s="442">
        <v>85000</v>
      </c>
    </row>
    <row r="13" spans="1:5" ht="39.75" customHeight="1">
      <c r="A13" s="444" t="s">
        <v>451</v>
      </c>
      <c r="B13" s="444"/>
      <c r="C13" s="444"/>
      <c r="D13" s="444"/>
      <c r="E13" s="445">
        <f>SUM(E11:E12)</f>
        <v>355000</v>
      </c>
    </row>
    <row r="14" spans="4:5" ht="15" customHeight="1">
      <c r="D14" s="288"/>
      <c r="E14" s="102"/>
    </row>
    <row r="15" spans="4:5" ht="15" customHeight="1">
      <c r="D15" s="288"/>
      <c r="E15" s="102"/>
    </row>
    <row r="16" spans="4:5" ht="15" customHeight="1">
      <c r="D16" s="323"/>
      <c r="E16" s="323"/>
    </row>
    <row r="17" ht="15" customHeight="1"/>
  </sheetData>
  <mergeCells count="2">
    <mergeCell ref="A6:E6"/>
    <mergeCell ref="A13:D13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55" workbookViewId="0" topLeftCell="A1">
      <selection activeCell="D20" sqref="D20"/>
    </sheetView>
  </sheetViews>
  <sheetFormatPr defaultColWidth="9.00390625" defaultRowHeight="12.75"/>
  <cols>
    <col min="1" max="1" width="5.75390625" style="2" customWidth="1"/>
    <col min="2" max="2" width="8.125" style="2" customWidth="1"/>
    <col min="3" max="3" width="5.75390625" style="2" customWidth="1"/>
    <col min="4" max="4" width="58.375" style="2" customWidth="1"/>
    <col min="5" max="6" width="10.875" style="2" customWidth="1"/>
    <col min="7" max="7" width="19.00390625" style="2" customWidth="1"/>
    <col min="8" max="16384" width="9.00390625" style="2" customWidth="1"/>
  </cols>
  <sheetData>
    <row r="1" spans="1:7" ht="12.75">
      <c r="A1" s="244"/>
      <c r="B1" s="244"/>
      <c r="C1" s="244"/>
      <c r="D1" s="244"/>
      <c r="E1" s="244"/>
      <c r="F1" s="246" t="s">
        <v>452</v>
      </c>
      <c r="G1" s="246"/>
    </row>
    <row r="2" spans="1:7" ht="12.75">
      <c r="A2" s="244"/>
      <c r="B2" s="244"/>
      <c r="C2" s="244"/>
      <c r="D2" s="244"/>
      <c r="E2" s="244"/>
      <c r="F2" s="246" t="s">
        <v>1</v>
      </c>
      <c r="G2" s="246"/>
    </row>
    <row r="3" spans="1:7" ht="12.75">
      <c r="A3" s="244"/>
      <c r="B3" s="244"/>
      <c r="C3" s="244"/>
      <c r="D3" s="244"/>
      <c r="E3" s="244"/>
      <c r="F3" s="246" t="s">
        <v>150</v>
      </c>
      <c r="G3" s="246"/>
    </row>
    <row r="4" spans="1:7" ht="12.75">
      <c r="A4" s="244"/>
      <c r="B4" s="244"/>
      <c r="C4" s="244"/>
      <c r="D4" s="244"/>
      <c r="E4" s="244"/>
      <c r="F4" s="244"/>
      <c r="G4" s="247"/>
    </row>
    <row r="5" spans="1:7" ht="12.75">
      <c r="A5" s="244"/>
      <c r="B5" s="244"/>
      <c r="C5" s="244"/>
      <c r="D5" s="244"/>
      <c r="E5" s="244"/>
      <c r="F5" s="244"/>
      <c r="G5" s="244"/>
    </row>
    <row r="6" spans="1:7" ht="33.75">
      <c r="A6" s="446" t="s">
        <v>453</v>
      </c>
      <c r="B6" s="446"/>
      <c r="C6" s="446"/>
      <c r="D6" s="446"/>
      <c r="E6" s="446"/>
      <c r="F6" s="446"/>
      <c r="G6" s="446"/>
    </row>
    <row r="7" spans="1:7" ht="12.75">
      <c r="A7" s="244"/>
      <c r="B7" s="244"/>
      <c r="C7" s="244"/>
      <c r="D7" s="244"/>
      <c r="E7" s="244"/>
      <c r="F7" s="244"/>
      <c r="G7" s="376" t="s">
        <v>442</v>
      </c>
    </row>
    <row r="8" spans="1:7" ht="12.75">
      <c r="A8" s="244"/>
      <c r="B8" s="244"/>
      <c r="C8" s="244"/>
      <c r="D8" s="244"/>
      <c r="E8" s="244"/>
      <c r="F8" s="244"/>
      <c r="G8" s="247"/>
    </row>
    <row r="9" spans="1:7" ht="30" customHeight="1">
      <c r="A9" s="260" t="s">
        <v>428</v>
      </c>
      <c r="B9" s="260" t="s">
        <v>429</v>
      </c>
      <c r="C9" s="260" t="s">
        <v>12</v>
      </c>
      <c r="D9" s="260" t="s">
        <v>268</v>
      </c>
      <c r="E9" s="260"/>
      <c r="F9" s="260"/>
      <c r="G9" s="260" t="s">
        <v>454</v>
      </c>
    </row>
    <row r="10" spans="1:7" ht="12.75">
      <c r="A10" s="270">
        <v>1</v>
      </c>
      <c r="B10" s="270">
        <v>2</v>
      </c>
      <c r="C10" s="270">
        <v>3</v>
      </c>
      <c r="D10" s="270">
        <v>1</v>
      </c>
      <c r="E10" s="270"/>
      <c r="F10" s="270"/>
      <c r="G10" s="377">
        <v>2</v>
      </c>
    </row>
    <row r="11" spans="1:7" ht="24" customHeight="1">
      <c r="A11" s="447">
        <v>926</v>
      </c>
      <c r="B11" s="448" t="s">
        <v>455</v>
      </c>
      <c r="C11" s="449">
        <v>2820</v>
      </c>
      <c r="D11" s="450" t="s">
        <v>456</v>
      </c>
      <c r="E11" s="450"/>
      <c r="F11" s="450"/>
      <c r="G11" s="451">
        <v>35000</v>
      </c>
    </row>
    <row r="12" spans="1:7" ht="15">
      <c r="A12" s="429"/>
      <c r="B12" s="452"/>
      <c r="C12" s="453"/>
      <c r="D12" s="454" t="s">
        <v>457</v>
      </c>
      <c r="E12" s="454"/>
      <c r="F12" s="454"/>
      <c r="G12" s="455"/>
    </row>
    <row r="13" spans="1:7" ht="15">
      <c r="A13" s="433"/>
      <c r="B13" s="385"/>
      <c r="C13" s="456"/>
      <c r="D13" s="454" t="s">
        <v>458</v>
      </c>
      <c r="E13" s="454"/>
      <c r="F13" s="454"/>
      <c r="G13" s="455"/>
    </row>
    <row r="14" spans="1:7" ht="30" customHeight="1">
      <c r="A14" s="457"/>
      <c r="B14" s="458"/>
      <c r="C14" s="459"/>
      <c r="D14" s="460" t="s">
        <v>459</v>
      </c>
      <c r="E14" s="460"/>
      <c r="F14" s="460"/>
      <c r="G14" s="461"/>
    </row>
    <row r="15" spans="1:7" ht="39.75" customHeight="1">
      <c r="A15" s="444" t="s">
        <v>460</v>
      </c>
      <c r="B15" s="444"/>
      <c r="C15" s="444"/>
      <c r="D15" s="444"/>
      <c r="E15" s="444"/>
      <c r="F15" s="444"/>
      <c r="G15" s="462">
        <f>SUM(G11:G11)</f>
        <v>35000</v>
      </c>
    </row>
    <row r="16" spans="4:7" ht="15" customHeight="1">
      <c r="D16" s="372"/>
      <c r="E16" s="372"/>
      <c r="F16" s="319"/>
      <c r="G16" s="319"/>
    </row>
    <row r="17" spans="4:7" ht="15" customHeight="1">
      <c r="D17" s="372"/>
      <c r="E17" s="372"/>
      <c r="F17" s="372"/>
      <c r="G17" s="288"/>
    </row>
    <row r="18" spans="4:6" ht="15" customHeight="1">
      <c r="D18" s="372"/>
      <c r="E18" s="372"/>
      <c r="F18" s="372"/>
    </row>
    <row r="19" spans="4:7" ht="15" customHeight="1">
      <c r="D19" s="372"/>
      <c r="E19" s="372"/>
      <c r="F19" s="463"/>
      <c r="G19" s="463"/>
    </row>
    <row r="20" ht="15" customHeight="1"/>
  </sheetData>
  <mergeCells count="8">
    <mergeCell ref="A6:G6"/>
    <mergeCell ref="D9:F9"/>
    <mergeCell ref="D10:F10"/>
    <mergeCell ref="D11:F11"/>
    <mergeCell ref="D12:F12"/>
    <mergeCell ref="D13:F13"/>
    <mergeCell ref="D14:F14"/>
    <mergeCell ref="A15:F1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55" workbookViewId="0" topLeftCell="A1">
      <selection activeCell="D28" sqref="D28"/>
    </sheetView>
  </sheetViews>
  <sheetFormatPr defaultColWidth="9.00390625" defaultRowHeight="12.75"/>
  <cols>
    <col min="1" max="1" width="5.125" style="2" customWidth="1"/>
    <col min="2" max="2" width="42.25390625" style="2" customWidth="1"/>
    <col min="3" max="3" width="12.50390625" style="2" customWidth="1"/>
    <col min="4" max="4" width="11.75390625" style="2" customWidth="1"/>
    <col min="5" max="5" width="16.625" style="2" customWidth="1"/>
    <col min="6" max="6" width="9.00390625" style="2" customWidth="1"/>
    <col min="7" max="7" width="13.125" style="2" customWidth="1"/>
    <col min="8" max="16384" width="9.00390625" style="2" customWidth="1"/>
  </cols>
  <sheetData>
    <row r="1" spans="1:6" ht="12.75">
      <c r="A1" s="244"/>
      <c r="B1" s="464" t="s">
        <v>45</v>
      </c>
      <c r="C1" s="244"/>
      <c r="D1" s="246" t="s">
        <v>461</v>
      </c>
      <c r="E1" s="246"/>
      <c r="F1" s="290"/>
    </row>
    <row r="2" spans="1:6" ht="12.75">
      <c r="A2" s="244"/>
      <c r="B2" s="248" t="s">
        <v>45</v>
      </c>
      <c r="C2" s="244"/>
      <c r="D2" s="246" t="s">
        <v>1</v>
      </c>
      <c r="E2" s="246"/>
      <c r="F2" s="290"/>
    </row>
    <row r="3" spans="1:6" ht="12.75">
      <c r="A3" s="244"/>
      <c r="B3" s="464" t="s">
        <v>45</v>
      </c>
      <c r="C3" s="244"/>
      <c r="D3" s="246" t="s">
        <v>150</v>
      </c>
      <c r="E3" s="246"/>
      <c r="F3" s="290"/>
    </row>
    <row r="4" spans="1:6" ht="12.75">
      <c r="A4" s="244"/>
      <c r="B4" s="244"/>
      <c r="C4" s="244"/>
      <c r="D4" s="244"/>
      <c r="E4" s="248"/>
      <c r="F4" s="290"/>
    </row>
    <row r="5" spans="1:6" ht="19.5">
      <c r="A5" s="465" t="s">
        <v>462</v>
      </c>
      <c r="B5" s="465"/>
      <c r="C5" s="465"/>
      <c r="D5" s="465"/>
      <c r="E5" s="465"/>
      <c r="F5" s="293"/>
    </row>
    <row r="6" spans="1:5" ht="15">
      <c r="A6" s="465" t="s">
        <v>463</v>
      </c>
      <c r="B6" s="465"/>
      <c r="C6" s="465"/>
      <c r="D6" s="465"/>
      <c r="E6" s="465"/>
    </row>
    <row r="7" spans="1:6" ht="19.5">
      <c r="A7" s="465" t="s">
        <v>464</v>
      </c>
      <c r="B7" s="465"/>
      <c r="C7" s="465"/>
      <c r="D7" s="465"/>
      <c r="E7" s="465"/>
      <c r="F7" s="293"/>
    </row>
    <row r="8" spans="1:6" ht="12.75">
      <c r="A8" s="466"/>
      <c r="B8" s="466"/>
      <c r="C8" s="466"/>
      <c r="D8" s="466"/>
      <c r="E8" s="376" t="s">
        <v>442</v>
      </c>
      <c r="F8" s="467"/>
    </row>
    <row r="9" spans="1:6" ht="7.5" customHeight="1">
      <c r="A9" s="244"/>
      <c r="B9" s="244"/>
      <c r="C9" s="244"/>
      <c r="D9" s="244"/>
      <c r="E9" s="244"/>
      <c r="F9" s="289"/>
    </row>
    <row r="10" spans="1:5" ht="12.75">
      <c r="A10" s="468" t="s">
        <v>320</v>
      </c>
      <c r="B10" s="468" t="s">
        <v>465</v>
      </c>
      <c r="C10" s="468"/>
      <c r="D10" s="468"/>
      <c r="E10" s="468" t="s">
        <v>7</v>
      </c>
    </row>
    <row r="11" spans="1:5" ht="12.75">
      <c r="A11" s="469">
        <v>1</v>
      </c>
      <c r="B11" s="469">
        <v>2</v>
      </c>
      <c r="C11" s="469"/>
      <c r="D11" s="469"/>
      <c r="E11" s="469">
        <v>3</v>
      </c>
    </row>
    <row r="12" spans="1:5" ht="12.75">
      <c r="A12" s="254" t="s">
        <v>383</v>
      </c>
      <c r="B12" s="470" t="s">
        <v>466</v>
      </c>
      <c r="C12" s="470"/>
      <c r="D12" s="470"/>
      <c r="E12" s="471">
        <v>0</v>
      </c>
    </row>
    <row r="13" spans="1:5" ht="12.75">
      <c r="A13" s="254" t="s">
        <v>467</v>
      </c>
      <c r="B13" s="472" t="s">
        <v>468</v>
      </c>
      <c r="C13" s="472"/>
      <c r="D13" s="472"/>
      <c r="E13" s="471">
        <f>SUM(E14:E14)</f>
        <v>4000</v>
      </c>
    </row>
    <row r="14" spans="1:5" ht="12.75">
      <c r="A14" s="254" t="s">
        <v>392</v>
      </c>
      <c r="B14" s="472" t="s">
        <v>469</v>
      </c>
      <c r="C14" s="472"/>
      <c r="D14" s="472"/>
      <c r="E14" s="471">
        <v>4000</v>
      </c>
    </row>
    <row r="15" spans="1:5" ht="7.5" customHeight="1">
      <c r="A15" s="254"/>
      <c r="B15" s="472"/>
      <c r="C15" s="472"/>
      <c r="D15" s="472"/>
      <c r="E15" s="471"/>
    </row>
    <row r="16" spans="1:5" ht="12.75">
      <c r="A16" s="254" t="s">
        <v>470</v>
      </c>
      <c r="B16" s="472" t="s">
        <v>471</v>
      </c>
      <c r="C16" s="472"/>
      <c r="D16" s="472"/>
      <c r="E16" s="471">
        <f>SUM(E17,E22)</f>
        <v>4000</v>
      </c>
    </row>
    <row r="17" spans="1:5" ht="12.75">
      <c r="A17" s="254" t="s">
        <v>378</v>
      </c>
      <c r="B17" s="472" t="s">
        <v>156</v>
      </c>
      <c r="C17" s="472"/>
      <c r="D17" s="472"/>
      <c r="E17" s="471">
        <f>SUM(E18:E21)</f>
        <v>4000</v>
      </c>
    </row>
    <row r="18" spans="1:5" ht="12.75">
      <c r="A18" s="254"/>
      <c r="B18" s="472" t="s">
        <v>472</v>
      </c>
      <c r="C18" s="472"/>
      <c r="D18" s="472"/>
      <c r="E18" s="471">
        <v>1000</v>
      </c>
    </row>
    <row r="19" spans="1:5" ht="12.75">
      <c r="A19" s="254"/>
      <c r="B19" s="472" t="s">
        <v>473</v>
      </c>
      <c r="C19" s="472"/>
      <c r="D19" s="472"/>
      <c r="E19" s="471">
        <v>1000</v>
      </c>
    </row>
    <row r="20" spans="1:5" ht="12.75">
      <c r="A20" s="254"/>
      <c r="B20" s="472" t="s">
        <v>474</v>
      </c>
      <c r="C20" s="472"/>
      <c r="D20" s="472"/>
      <c r="E20" s="471">
        <v>1000</v>
      </c>
    </row>
    <row r="21" spans="1:5" ht="12.75">
      <c r="A21" s="254"/>
      <c r="B21" s="472" t="s">
        <v>475</v>
      </c>
      <c r="C21" s="472"/>
      <c r="D21" s="472"/>
      <c r="E21" s="471">
        <v>1000</v>
      </c>
    </row>
    <row r="22" spans="1:5" ht="12.75">
      <c r="A22" s="254" t="s">
        <v>380</v>
      </c>
      <c r="B22" s="472" t="s">
        <v>158</v>
      </c>
      <c r="C22" s="472"/>
      <c r="D22" s="472"/>
      <c r="E22" s="471">
        <v>0</v>
      </c>
    </row>
    <row r="23" spans="1:5" ht="12.75">
      <c r="A23" s="254" t="s">
        <v>476</v>
      </c>
      <c r="B23" s="472" t="s">
        <v>477</v>
      </c>
      <c r="C23" s="472"/>
      <c r="D23" s="472"/>
      <c r="E23" s="471">
        <v>0</v>
      </c>
    </row>
    <row r="24" spans="2:4" ht="12.75">
      <c r="B24" s="473"/>
      <c r="C24" s="473"/>
      <c r="D24" s="473"/>
    </row>
    <row r="25" spans="1:6" ht="17.25">
      <c r="A25" s="474"/>
      <c r="B25" s="474"/>
      <c r="C25" s="321"/>
      <c r="D25" s="319"/>
      <c r="E25" s="319"/>
      <c r="F25" s="475"/>
    </row>
    <row r="26" spans="1:4" ht="12.75">
      <c r="A26" s="290"/>
      <c r="B26" s="290"/>
      <c r="C26" s="290"/>
      <c r="D26" s="290"/>
    </row>
    <row r="27" spans="1:6" ht="15">
      <c r="A27" s="474"/>
      <c r="B27" s="474"/>
      <c r="C27" s="321"/>
      <c r="D27" s="321"/>
      <c r="F27" s="320"/>
    </row>
    <row r="28" spans="4:5" ht="12.75" customHeight="1">
      <c r="D28" s="323"/>
      <c r="E28" s="323"/>
    </row>
  </sheetData>
  <mergeCells count="17">
    <mergeCell ref="A5:E5"/>
    <mergeCell ref="A6:E6"/>
    <mergeCell ref="A7:E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55" workbookViewId="0" topLeftCell="B1">
      <selection activeCell="F33" sqref="F33"/>
    </sheetView>
  </sheetViews>
  <sheetFormatPr defaultColWidth="9.00390625" defaultRowHeight="12.75"/>
  <cols>
    <col min="1" max="1" width="6.25390625" style="2" customWidth="1"/>
    <col min="2" max="2" width="42.125" style="2" customWidth="1"/>
    <col min="3" max="3" width="17.875" style="2" customWidth="1"/>
    <col min="4" max="4" width="14.625" style="2" customWidth="1"/>
    <col min="5" max="5" width="15.75390625" style="2" customWidth="1"/>
    <col min="6" max="6" width="15.25390625" style="2" customWidth="1"/>
    <col min="7" max="7" width="15.50390625" style="2" customWidth="1"/>
    <col min="8" max="8" width="9.00390625" style="2" customWidth="1"/>
    <col min="9" max="10" width="10.75390625" style="2" customWidth="1"/>
    <col min="11" max="11" width="11.125" style="2" customWidth="1"/>
    <col min="12" max="12" width="10.25390625" style="2" customWidth="1"/>
    <col min="13" max="255" width="9.00390625" style="2" customWidth="1"/>
  </cols>
  <sheetData>
    <row r="1" spans="1:7" ht="12.75">
      <c r="A1" s="244"/>
      <c r="B1" s="244"/>
      <c r="C1" s="244"/>
      <c r="D1" s="244"/>
      <c r="E1" s="246" t="s">
        <v>478</v>
      </c>
      <c r="F1" s="246"/>
      <c r="G1" s="244"/>
    </row>
    <row r="2" spans="1:7" ht="12.75">
      <c r="A2" s="244"/>
      <c r="B2" s="244"/>
      <c r="C2" s="244"/>
      <c r="D2" s="244"/>
      <c r="E2" s="246" t="s">
        <v>1</v>
      </c>
      <c r="F2" s="246"/>
      <c r="G2" s="244"/>
    </row>
    <row r="3" spans="1:7" ht="12.75">
      <c r="A3" s="244"/>
      <c r="B3" s="244"/>
      <c r="C3" s="244"/>
      <c r="D3" s="244"/>
      <c r="E3" s="4" t="s">
        <v>150</v>
      </c>
      <c r="F3" s="246"/>
      <c r="G3" s="244"/>
    </row>
    <row r="4" spans="1:7" ht="12.75">
      <c r="A4" s="244"/>
      <c r="B4" s="244"/>
      <c r="C4" s="244"/>
      <c r="D4" s="244"/>
      <c r="E4" s="248"/>
      <c r="F4" s="248"/>
      <c r="G4" s="244"/>
    </row>
    <row r="5" spans="1:7" ht="12.75">
      <c r="A5" s="244"/>
      <c r="B5" s="244"/>
      <c r="C5" s="244"/>
      <c r="D5" s="244"/>
      <c r="E5" s="248"/>
      <c r="F5" s="248"/>
      <c r="G5" s="244"/>
    </row>
    <row r="6" spans="1:7" ht="12.75">
      <c r="A6" s="244"/>
      <c r="B6" s="244"/>
      <c r="C6" s="244"/>
      <c r="D6" s="244"/>
      <c r="E6" s="248"/>
      <c r="F6" s="248"/>
      <c r="G6" s="244"/>
    </row>
    <row r="7" spans="1:7" ht="17.25">
      <c r="A7" s="374" t="s">
        <v>479</v>
      </c>
      <c r="B7" s="374"/>
      <c r="C7" s="374"/>
      <c r="D7" s="374"/>
      <c r="E7" s="374"/>
      <c r="F7" s="374"/>
      <c r="G7" s="244"/>
    </row>
    <row r="8" spans="1:7" ht="12.75">
      <c r="A8" s="244"/>
      <c r="B8" s="244"/>
      <c r="C8" s="244"/>
      <c r="D8" s="244"/>
      <c r="E8" s="244"/>
      <c r="F8" s="244"/>
      <c r="G8" s="244"/>
    </row>
    <row r="9" spans="1:7" ht="12.75">
      <c r="A9" s="440" t="s">
        <v>320</v>
      </c>
      <c r="B9" s="440" t="s">
        <v>480</v>
      </c>
      <c r="C9" s="476" t="s">
        <v>481</v>
      </c>
      <c r="D9" s="468" t="s">
        <v>482</v>
      </c>
      <c r="E9" s="468"/>
      <c r="F9" s="468"/>
      <c r="G9" s="468"/>
    </row>
    <row r="10" spans="1:8" ht="12.75">
      <c r="A10" s="440"/>
      <c r="B10" s="440"/>
      <c r="C10" s="477" t="s">
        <v>483</v>
      </c>
      <c r="D10" s="440">
        <v>2008</v>
      </c>
      <c r="E10" s="440">
        <v>2009</v>
      </c>
      <c r="F10" s="440">
        <v>2010</v>
      </c>
      <c r="G10" s="440">
        <v>20011</v>
      </c>
      <c r="H10" s="478"/>
    </row>
    <row r="11" spans="1:10" ht="12.75">
      <c r="A11" s="440"/>
      <c r="B11" s="440"/>
      <c r="C11" s="479" t="s">
        <v>484</v>
      </c>
      <c r="D11" s="440"/>
      <c r="E11" s="440"/>
      <c r="F11" s="440"/>
      <c r="G11" s="440"/>
      <c r="H11" s="478"/>
      <c r="I11" s="289" t="s">
        <v>485</v>
      </c>
      <c r="J11" s="289"/>
    </row>
    <row r="12" spans="1:10" ht="12.75">
      <c r="A12" s="270">
        <v>1</v>
      </c>
      <c r="B12" s="270">
        <f>A12+1</f>
        <v>2</v>
      </c>
      <c r="C12" s="270">
        <f>B12+1</f>
        <v>3</v>
      </c>
      <c r="D12" s="270">
        <f>C12+1</f>
        <v>4</v>
      </c>
      <c r="E12" s="270">
        <f>D12+1</f>
        <v>5</v>
      </c>
      <c r="F12" s="270">
        <f>E12+1</f>
        <v>6</v>
      </c>
      <c r="G12" s="270">
        <f>F12+1</f>
        <v>7</v>
      </c>
      <c r="H12" s="480"/>
      <c r="I12" s="322">
        <v>30000</v>
      </c>
      <c r="J12" s="322"/>
    </row>
    <row r="13" spans="1:11" ht="15">
      <c r="A13" s="254" t="s">
        <v>378</v>
      </c>
      <c r="B13" s="436" t="s">
        <v>486</v>
      </c>
      <c r="C13" s="481"/>
      <c r="D13" s="481"/>
      <c r="E13" s="481"/>
      <c r="F13" s="481"/>
      <c r="G13" s="481"/>
      <c r="H13" s="482"/>
      <c r="I13" s="322">
        <v>30000</v>
      </c>
      <c r="J13" s="322"/>
      <c r="K13" s="289" t="s">
        <v>487</v>
      </c>
    </row>
    <row r="14" spans="1:11" ht="15">
      <c r="A14" s="254" t="s">
        <v>380</v>
      </c>
      <c r="B14" s="436" t="s">
        <v>386</v>
      </c>
      <c r="C14" s="481">
        <f>320000-120000</f>
        <v>200000</v>
      </c>
      <c r="D14" s="481">
        <f>200000-100000+150000</f>
        <v>250000</v>
      </c>
      <c r="E14" s="481">
        <f>D14-100000-50000</f>
        <v>100000</v>
      </c>
      <c r="F14" s="481">
        <f>E14-100000</f>
        <v>0</v>
      </c>
      <c r="G14" s="481"/>
      <c r="H14" s="482"/>
      <c r="I14" s="322">
        <v>30000</v>
      </c>
      <c r="J14" s="322"/>
      <c r="K14" s="322">
        <v>15447.89</v>
      </c>
    </row>
    <row r="15" spans="1:12" ht="15">
      <c r="A15" s="254" t="s">
        <v>389</v>
      </c>
      <c r="B15" s="436" t="s">
        <v>388</v>
      </c>
      <c r="C15" s="481">
        <f>375447.89-39447.89</f>
        <v>336000</v>
      </c>
      <c r="D15" s="481">
        <f>C15-96000</f>
        <v>240000</v>
      </c>
      <c r="E15" s="481">
        <f>D15-96000</f>
        <v>144000</v>
      </c>
      <c r="F15" s="481">
        <f>E15-96000</f>
        <v>48000</v>
      </c>
      <c r="G15" s="481">
        <f>F15-48000</f>
        <v>0</v>
      </c>
      <c r="H15" s="483">
        <v>2007</v>
      </c>
      <c r="I15" s="322">
        <v>30000</v>
      </c>
      <c r="J15" s="322">
        <f>SUM(I12:I15)</f>
        <v>120000</v>
      </c>
      <c r="K15" s="322">
        <v>24000</v>
      </c>
      <c r="L15" s="322">
        <f>SUM(K14:K15)</f>
        <v>39447.89</v>
      </c>
    </row>
    <row r="16" spans="1:12" ht="15">
      <c r="A16" s="254" t="s">
        <v>392</v>
      </c>
      <c r="B16" s="436" t="s">
        <v>488</v>
      </c>
      <c r="C16" s="481"/>
      <c r="D16" s="481"/>
      <c r="E16" s="481"/>
      <c r="F16" s="481"/>
      <c r="G16" s="481"/>
      <c r="H16" s="483"/>
      <c r="I16" s="322">
        <v>25000</v>
      </c>
      <c r="J16" s="322"/>
      <c r="K16" s="322">
        <v>24000</v>
      </c>
      <c r="L16" s="322"/>
    </row>
    <row r="17" spans="1:12" ht="15">
      <c r="A17" s="253" t="s">
        <v>395</v>
      </c>
      <c r="B17" s="436" t="s">
        <v>489</v>
      </c>
      <c r="C17" s="481"/>
      <c r="D17" s="481"/>
      <c r="E17" s="481"/>
      <c r="F17" s="481"/>
      <c r="G17" s="481"/>
      <c r="H17" s="483"/>
      <c r="I17" s="322">
        <v>25000</v>
      </c>
      <c r="J17" s="322"/>
      <c r="K17" s="322">
        <v>24000</v>
      </c>
      <c r="L17" s="322"/>
    </row>
    <row r="18" spans="1:12" ht="15">
      <c r="A18" s="257"/>
      <c r="B18" s="436" t="s">
        <v>490</v>
      </c>
      <c r="C18" s="481"/>
      <c r="D18" s="481"/>
      <c r="E18" s="481"/>
      <c r="F18" s="481"/>
      <c r="G18" s="481"/>
      <c r="H18" s="483"/>
      <c r="I18" s="322">
        <v>25000</v>
      </c>
      <c r="J18" s="322"/>
      <c r="K18" s="322">
        <v>24000</v>
      </c>
      <c r="L18" s="322"/>
    </row>
    <row r="19" spans="1:12" ht="15">
      <c r="A19" s="257"/>
      <c r="B19" s="436" t="s">
        <v>491</v>
      </c>
      <c r="C19" s="481"/>
      <c r="D19" s="481"/>
      <c r="E19" s="481"/>
      <c r="F19" s="481"/>
      <c r="G19" s="481"/>
      <c r="H19" s="483">
        <v>2008</v>
      </c>
      <c r="I19" s="322">
        <v>25000</v>
      </c>
      <c r="J19" s="322">
        <f>SUM(I16:I19)</f>
        <v>100000</v>
      </c>
      <c r="K19" s="322">
        <v>24000</v>
      </c>
      <c r="L19" s="322">
        <f>SUM(K16:K19)</f>
        <v>96000</v>
      </c>
    </row>
    <row r="20" spans="1:12" ht="15">
      <c r="A20" s="257"/>
      <c r="B20" s="436" t="s">
        <v>492</v>
      </c>
      <c r="C20" s="481"/>
      <c r="D20" s="481"/>
      <c r="E20" s="481"/>
      <c r="F20" s="481"/>
      <c r="G20" s="481"/>
      <c r="H20" s="483"/>
      <c r="I20" s="322">
        <v>25000</v>
      </c>
      <c r="J20" s="322"/>
      <c r="K20" s="322">
        <v>24000</v>
      </c>
      <c r="L20" s="322"/>
    </row>
    <row r="21" spans="1:12" ht="15">
      <c r="A21" s="257"/>
      <c r="B21" s="436" t="s">
        <v>493</v>
      </c>
      <c r="C21" s="481"/>
      <c r="D21" s="481"/>
      <c r="E21" s="481"/>
      <c r="F21" s="481"/>
      <c r="G21" s="481"/>
      <c r="H21" s="483"/>
      <c r="I21" s="322">
        <v>25000</v>
      </c>
      <c r="J21" s="322"/>
      <c r="K21" s="322">
        <v>24000</v>
      </c>
      <c r="L21" s="322"/>
    </row>
    <row r="22" spans="1:12" ht="15">
      <c r="A22" s="257"/>
      <c r="B22" s="436" t="s">
        <v>494</v>
      </c>
      <c r="C22" s="481"/>
      <c r="D22" s="481"/>
      <c r="E22" s="481"/>
      <c r="F22" s="481"/>
      <c r="G22" s="481"/>
      <c r="H22" s="483"/>
      <c r="I22" s="322">
        <v>25000</v>
      </c>
      <c r="J22" s="322"/>
      <c r="K22" s="322">
        <v>24000</v>
      </c>
      <c r="L22" s="322"/>
    </row>
    <row r="23" spans="1:12" ht="15">
      <c r="A23" s="266"/>
      <c r="B23" s="436" t="s">
        <v>495</v>
      </c>
      <c r="C23" s="481"/>
      <c r="D23" s="481"/>
      <c r="E23" s="481"/>
      <c r="F23" s="481"/>
      <c r="G23" s="481"/>
      <c r="H23" s="483">
        <v>2009</v>
      </c>
      <c r="I23" s="322">
        <v>25000</v>
      </c>
      <c r="J23" s="322">
        <f>SUM(I20:I23)</f>
        <v>100000</v>
      </c>
      <c r="K23" s="322">
        <v>24000</v>
      </c>
      <c r="L23" s="322">
        <f>SUM(K20:K23)</f>
        <v>96000</v>
      </c>
    </row>
    <row r="24" spans="1:12" ht="15">
      <c r="A24" s="254" t="s">
        <v>398</v>
      </c>
      <c r="B24" s="436" t="s">
        <v>496</v>
      </c>
      <c r="C24" s="481">
        <f>SUM(C13:C17)</f>
        <v>536000</v>
      </c>
      <c r="D24" s="481">
        <f>SUM(D13:D17)</f>
        <v>490000</v>
      </c>
      <c r="E24" s="481">
        <f>SUM(E13:E17)</f>
        <v>244000</v>
      </c>
      <c r="F24" s="481">
        <f>SUM(F13:F23)</f>
        <v>48000</v>
      </c>
      <c r="G24" s="481">
        <f>SUM(G13:G23)</f>
        <v>0</v>
      </c>
      <c r="H24" s="483"/>
      <c r="I24"/>
      <c r="J24"/>
      <c r="K24" s="322">
        <v>24000</v>
      </c>
      <c r="L24" s="322"/>
    </row>
    <row r="25" spans="1:12" ht="15">
      <c r="A25" s="254" t="s">
        <v>401</v>
      </c>
      <c r="B25" s="436" t="s">
        <v>497</v>
      </c>
      <c r="C25" s="484">
        <f>1!E111</f>
        <v>7668721.54</v>
      </c>
      <c r="D25" s="484">
        <f>1!F111</f>
        <v>7791014</v>
      </c>
      <c r="E25" s="484" t="e">
        <f>'11a'!E9</f>
        <v>#REF!</v>
      </c>
      <c r="F25" s="484" t="e">
        <f>'11a'!F9</f>
        <v>#REF!</v>
      </c>
      <c r="G25" s="484" t="e">
        <f>'11a'!G9</f>
        <v>#REF!</v>
      </c>
      <c r="H25" s="483"/>
      <c r="I25"/>
      <c r="J25"/>
      <c r="K25" s="322">
        <v>24000</v>
      </c>
      <c r="L25" s="322"/>
    </row>
    <row r="26" spans="1:12" ht="15">
      <c r="A26" s="254" t="s">
        <v>404</v>
      </c>
      <c r="B26" s="436" t="s">
        <v>498</v>
      </c>
      <c r="C26" s="484">
        <f>C24/C25*100</f>
        <v>6.989430991909506</v>
      </c>
      <c r="D26" s="484">
        <f>(D24)/D25*100</f>
        <v>6.289296874578841</v>
      </c>
      <c r="E26" s="484" t="e">
        <f>E24/E25*100</f>
        <v>#REF!</v>
      </c>
      <c r="F26" s="484" t="e">
        <f>F24/F25*100</f>
        <v>#REF!</v>
      </c>
      <c r="G26" s="484" t="e">
        <f>G24/G25*100</f>
        <v>#REF!</v>
      </c>
      <c r="H26" s="485"/>
      <c r="I26" s="322"/>
      <c r="J26" s="322"/>
      <c r="K26" s="322">
        <v>24000</v>
      </c>
      <c r="L26" s="322"/>
    </row>
    <row r="27" spans="1:12" ht="12.75">
      <c r="A27" s="244"/>
      <c r="B27" s="244"/>
      <c r="C27" s="244"/>
      <c r="D27" s="244"/>
      <c r="E27" s="244"/>
      <c r="F27" s="244"/>
      <c r="G27" s="244"/>
      <c r="H27" s="486">
        <v>2010</v>
      </c>
      <c r="I27" s="322"/>
      <c r="J27" s="322"/>
      <c r="K27" s="322">
        <v>24000</v>
      </c>
      <c r="L27" s="322">
        <f>SUM(K24:K27)</f>
        <v>96000</v>
      </c>
    </row>
    <row r="28" spans="1:12" ht="12.75">
      <c r="A28" s="487"/>
      <c r="B28" s="487"/>
      <c r="C28" s="244"/>
      <c r="D28" s="244"/>
      <c r="E28" s="244"/>
      <c r="F28" s="244"/>
      <c r="G28" s="244"/>
      <c r="H28" s="486"/>
      <c r="I28" s="322"/>
      <c r="J28" s="322"/>
      <c r="K28" s="322">
        <v>24000</v>
      </c>
      <c r="L28" s="322"/>
    </row>
    <row r="29" spans="1:12" ht="15">
      <c r="A29" s="488"/>
      <c r="B29" s="488"/>
      <c r="C29" s="372"/>
      <c r="D29" s="319"/>
      <c r="E29" s="319"/>
      <c r="F29" s="319"/>
      <c r="G29" s="319"/>
      <c r="H29" s="486">
        <v>2011</v>
      </c>
      <c r="I29" s="322"/>
      <c r="J29" s="322"/>
      <c r="K29" s="322">
        <v>24000</v>
      </c>
      <c r="L29" s="322">
        <f>SUM(K28:K29)</f>
        <v>48000</v>
      </c>
    </row>
    <row r="30" spans="1:7" ht="15">
      <c r="A30" s="372"/>
      <c r="B30" s="372"/>
      <c r="C30" s="372"/>
      <c r="D30" s="288"/>
      <c r="E30" s="102"/>
      <c r="F30" s="102"/>
      <c r="G30" s="102"/>
    </row>
    <row r="31" spans="1:12" ht="15">
      <c r="A31" s="372"/>
      <c r="B31" s="372"/>
      <c r="C31" s="372"/>
      <c r="D31" s="288"/>
      <c r="E31" s="102"/>
      <c r="F31" s="102"/>
      <c r="G31" s="102"/>
      <c r="I31" s="322">
        <f>SUM(I12:I29)</f>
        <v>320000</v>
      </c>
      <c r="J31" s="322">
        <f>SUM(J14:J30)</f>
        <v>320000</v>
      </c>
      <c r="K31" s="362">
        <f>SUM(K14:K30)</f>
        <v>375447.89</v>
      </c>
      <c r="L31" s="362">
        <f>SUM(L14:L30)</f>
        <v>375447.89</v>
      </c>
    </row>
    <row r="32" spans="1:7" ht="15">
      <c r="A32" s="372"/>
      <c r="B32" s="372"/>
      <c r="C32" s="372"/>
      <c r="D32" s="323"/>
      <c r="E32" s="323"/>
      <c r="F32" s="323"/>
      <c r="G32" s="323"/>
    </row>
    <row r="33" spans="1:6" ht="15">
      <c r="A33" s="372"/>
      <c r="B33" s="372"/>
      <c r="C33" s="372"/>
      <c r="D33" s="323"/>
      <c r="E33" s="323"/>
      <c r="F33" s="323"/>
    </row>
  </sheetData>
  <mergeCells count="8">
    <mergeCell ref="A7:F7"/>
    <mergeCell ref="A9:A11"/>
    <mergeCell ref="B9:B11"/>
    <mergeCell ref="D9:G9"/>
    <mergeCell ref="D10:D11"/>
    <mergeCell ref="E10:E11"/>
    <mergeCell ref="F10:F11"/>
    <mergeCell ref="G10:G11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5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55" workbookViewId="0" topLeftCell="A7">
      <selection activeCell="F31" sqref="F31"/>
    </sheetView>
  </sheetViews>
  <sheetFormatPr defaultColWidth="9.00390625" defaultRowHeight="12.75"/>
  <cols>
    <col min="1" max="1" width="5.50390625" style="289" customWidth="1"/>
    <col min="2" max="2" width="41.375" style="473" customWidth="1"/>
    <col min="3" max="7" width="10.75390625" style="2" customWidth="1"/>
    <col min="8" max="254" width="9.00390625" style="2" customWidth="1"/>
  </cols>
  <sheetData>
    <row r="1" spans="1:6" ht="11.25" customHeight="1">
      <c r="A1" s="489"/>
      <c r="B1" s="489"/>
      <c r="C1"/>
      <c r="D1" s="3"/>
      <c r="E1" s="3" t="s">
        <v>499</v>
      </c>
      <c r="F1" s="3"/>
    </row>
    <row r="2" spans="1:6" ht="11.25" customHeight="1">
      <c r="A2" s="489"/>
      <c r="B2" s="489"/>
      <c r="C2"/>
      <c r="D2" s="3"/>
      <c r="E2" s="3" t="s">
        <v>1</v>
      </c>
      <c r="F2" s="3"/>
    </row>
    <row r="3" spans="1:6" ht="11.25" customHeight="1">
      <c r="A3" s="489"/>
      <c r="B3" s="489"/>
      <c r="C3"/>
      <c r="D3" s="3"/>
      <c r="E3" s="4" t="s">
        <v>150</v>
      </c>
      <c r="F3" s="3"/>
    </row>
    <row r="4" spans="1:6" ht="11.25" customHeight="1">
      <c r="A4" s="489"/>
      <c r="B4" s="489"/>
      <c r="C4"/>
      <c r="D4" s="3"/>
      <c r="E4" s="3"/>
      <c r="F4" s="3"/>
    </row>
    <row r="5" spans="1:6" ht="24.75" customHeight="1">
      <c r="A5" s="490" t="s">
        <v>500</v>
      </c>
      <c r="B5" s="490"/>
      <c r="C5" s="490"/>
      <c r="D5" s="490"/>
      <c r="E5" s="490"/>
      <c r="F5" s="490"/>
    </row>
    <row r="6" ht="12.75">
      <c r="F6" s="2" t="s">
        <v>501</v>
      </c>
    </row>
    <row r="7" spans="1:7" ht="33.75" customHeight="1">
      <c r="A7" s="7" t="s">
        <v>320</v>
      </c>
      <c r="B7" s="181" t="s">
        <v>465</v>
      </c>
      <c r="C7" s="8" t="s">
        <v>376</v>
      </c>
      <c r="D7" s="7" t="s">
        <v>502</v>
      </c>
      <c r="E7" s="7"/>
      <c r="F7" s="7"/>
      <c r="G7" s="7"/>
    </row>
    <row r="8" spans="1:7" ht="12.75">
      <c r="A8" s="7"/>
      <c r="B8" s="181"/>
      <c r="C8" s="8"/>
      <c r="D8" s="7">
        <v>2008</v>
      </c>
      <c r="E8" s="7">
        <v>2009</v>
      </c>
      <c r="F8" s="7">
        <v>2010</v>
      </c>
      <c r="G8" s="7">
        <v>2011</v>
      </c>
    </row>
    <row r="9" spans="1:7" ht="16.5" customHeight="1">
      <c r="A9" s="491" t="s">
        <v>503</v>
      </c>
      <c r="B9" s="492" t="s">
        <v>504</v>
      </c>
      <c r="C9" s="493" t="e">
        <f>C10+C14+C15+C16+C17</f>
        <v>#REF!</v>
      </c>
      <c r="D9" s="493" t="e">
        <f>D10+D14+D15+D16+D17</f>
        <v>#REF!</v>
      </c>
      <c r="E9" s="493" t="e">
        <f>E10+E14+E15+E16+E17</f>
        <v>#REF!</v>
      </c>
      <c r="F9" s="493" t="e">
        <f>F10+F14+F15+F16+F17</f>
        <v>#REF!</v>
      </c>
      <c r="G9" s="493" t="e">
        <f>G10+G14+G15+G16+G17</f>
        <v>#REF!</v>
      </c>
    </row>
    <row r="10" spans="1:7" ht="15.75" customHeight="1">
      <c r="A10" s="7" t="s">
        <v>505</v>
      </c>
      <c r="B10" s="494" t="s">
        <v>506</v>
      </c>
      <c r="C10" s="495" t="e">
        <f>#REF!</f>
        <v>#REF!</v>
      </c>
      <c r="D10" s="495" t="e">
        <f>#REF!</f>
        <v>#REF!</v>
      </c>
      <c r="E10" s="495" t="e">
        <f>SUM(E11:E13)</f>
        <v>#REF!</v>
      </c>
      <c r="F10" s="495" t="e">
        <f>SUM(F11:F13)</f>
        <v>#REF!</v>
      </c>
      <c r="G10" s="495" t="e">
        <f>SUM(G11:G13)</f>
        <v>#REF!</v>
      </c>
    </row>
    <row r="11" spans="1:7" ht="15.75" customHeight="1">
      <c r="A11" s="7">
        <v>1</v>
      </c>
      <c r="B11" s="494" t="s">
        <v>507</v>
      </c>
      <c r="C11" s="495" t="e">
        <f>#REF!-#REF!+#REF!-#REF!</f>
        <v>#REF!</v>
      </c>
      <c r="D11" s="495" t="e">
        <f>#REF!-#REF!+#REF!-#REF!</f>
        <v>#REF!</v>
      </c>
      <c r="E11" s="495" t="e">
        <f>D11+50000</f>
        <v>#REF!</v>
      </c>
      <c r="F11" s="495" t="e">
        <f>E11+50000</f>
        <v>#REF!</v>
      </c>
      <c r="G11" s="495" t="e">
        <f>F11+50000</f>
        <v>#REF!</v>
      </c>
    </row>
    <row r="12" spans="1:7" ht="15.75" customHeight="1">
      <c r="A12" s="7">
        <v>2</v>
      </c>
      <c r="B12" s="494" t="s">
        <v>508</v>
      </c>
      <c r="C12" s="495" t="e">
        <f>#REF!</f>
        <v>#REF!</v>
      </c>
      <c r="D12" s="495" t="e">
        <f>#REF!</f>
        <v>#REF!</v>
      </c>
      <c r="E12" s="495">
        <v>200000</v>
      </c>
      <c r="F12" s="495">
        <v>200000</v>
      </c>
      <c r="G12" s="495">
        <v>200000</v>
      </c>
    </row>
    <row r="13" spans="1:7" ht="24.75">
      <c r="A13" s="7">
        <v>3</v>
      </c>
      <c r="B13" s="494" t="s">
        <v>509</v>
      </c>
      <c r="C13" s="312" t="e">
        <f>#REF!+#REF!</f>
        <v>#REF!</v>
      </c>
      <c r="D13" s="312" t="e">
        <f>#REF!+#REF!</f>
        <v>#REF!</v>
      </c>
      <c r="E13" s="312" t="e">
        <f>D13+50000</f>
        <v>#REF!</v>
      </c>
      <c r="F13" s="312" t="e">
        <f>E13+50000</f>
        <v>#REF!</v>
      </c>
      <c r="G13" s="312" t="e">
        <f>F13+50000</f>
        <v>#REF!</v>
      </c>
    </row>
    <row r="14" spans="1:7" ht="15.75" customHeight="1">
      <c r="A14" s="7" t="s">
        <v>510</v>
      </c>
      <c r="B14" s="494" t="s">
        <v>511</v>
      </c>
      <c r="C14" s="495" t="e">
        <f>#REF!</f>
        <v>#REF!</v>
      </c>
      <c r="D14" s="495" t="e">
        <f>#REF!</f>
        <v>#REF!</v>
      </c>
      <c r="E14" s="495" t="e">
        <f>D14+50000</f>
        <v>#REF!</v>
      </c>
      <c r="F14" s="495" t="e">
        <f>E14+50000</f>
        <v>#REF!</v>
      </c>
      <c r="G14" s="495" t="e">
        <f>F14+50000</f>
        <v>#REF!</v>
      </c>
    </row>
    <row r="15" spans="1:7" ht="15.75" customHeight="1">
      <c r="A15" s="7" t="s">
        <v>512</v>
      </c>
      <c r="B15" s="494" t="s">
        <v>513</v>
      </c>
      <c r="C15" s="495" t="e">
        <f>#REF!</f>
        <v>#REF!</v>
      </c>
      <c r="D15" s="495" t="e">
        <f>#REF!</f>
        <v>#REF!</v>
      </c>
      <c r="E15" s="495" t="e">
        <f>D15+50000</f>
        <v>#REF!</v>
      </c>
      <c r="F15" s="495" t="e">
        <f>E15+50000</f>
        <v>#REF!</v>
      </c>
      <c r="G15" s="495" t="e">
        <f>F15+50000</f>
        <v>#REF!</v>
      </c>
    </row>
    <row r="16" spans="1:7" ht="15.75" customHeight="1">
      <c r="A16" s="7" t="s">
        <v>514</v>
      </c>
      <c r="B16" s="494" t="s">
        <v>515</v>
      </c>
      <c r="C16" s="495" t="e">
        <f>#REF!+#REF!</f>
        <v>#REF!</v>
      </c>
      <c r="D16" s="495" t="e">
        <f>#REF!</f>
        <v>#REF!</v>
      </c>
      <c r="E16" s="495" t="e">
        <f>D16+50000</f>
        <v>#REF!</v>
      </c>
      <c r="F16" s="495" t="e">
        <f>E16+50000</f>
        <v>#REF!</v>
      </c>
      <c r="G16" s="495" t="e">
        <f>F16+50000</f>
        <v>#REF!</v>
      </c>
    </row>
    <row r="17" spans="1:7" ht="15.75" customHeight="1">
      <c r="A17" s="7" t="s">
        <v>516</v>
      </c>
      <c r="B17" s="494" t="s">
        <v>517</v>
      </c>
      <c r="C17" s="495" t="e">
        <f>#REF!</f>
        <v>#REF!</v>
      </c>
      <c r="D17" s="495" t="e">
        <f>#REF!</f>
        <v>#REF!</v>
      </c>
      <c r="E17" s="495">
        <f>1713001+1400000</f>
        <v>3113001</v>
      </c>
      <c r="F17" s="495">
        <v>2000000</v>
      </c>
      <c r="G17" s="495"/>
    </row>
    <row r="18" spans="1:7" ht="16.5" customHeight="1">
      <c r="A18" s="491" t="s">
        <v>518</v>
      </c>
      <c r="B18" s="492" t="s">
        <v>519</v>
      </c>
      <c r="C18" s="493">
        <f>2!E288</f>
        <v>7357657.54</v>
      </c>
      <c r="D18" s="493">
        <f>2!F288</f>
        <v>7745014</v>
      </c>
      <c r="E18" s="493" t="e">
        <f>E9-E21-E25</f>
        <v>#REF!</v>
      </c>
      <c r="F18" s="493" t="e">
        <f>F9-F21-F25</f>
        <v>#REF!</v>
      </c>
      <c r="G18" s="493" t="e">
        <f>G9-G21-G25</f>
        <v>#REF!</v>
      </c>
    </row>
    <row r="19" spans="1:7" ht="12.75">
      <c r="A19" s="491" t="s">
        <v>520</v>
      </c>
      <c r="B19" s="492" t="s">
        <v>521</v>
      </c>
      <c r="C19" s="493">
        <f>C20+C24+C28+C29</f>
        <v>636418</v>
      </c>
      <c r="D19" s="493">
        <f>D20+D24+D28+D29</f>
        <v>216000</v>
      </c>
      <c r="E19" s="493">
        <f>E20+E24+E28+E29</f>
        <v>261000</v>
      </c>
      <c r="F19" s="493">
        <f>F20+F24+F28+F29</f>
        <v>204000</v>
      </c>
      <c r="G19" s="493">
        <f>G20+G24+G28+G29</f>
        <v>50000</v>
      </c>
    </row>
    <row r="20" spans="1:7" ht="24.75">
      <c r="A20" s="7" t="s">
        <v>505</v>
      </c>
      <c r="B20" s="494" t="s">
        <v>522</v>
      </c>
      <c r="C20" s="496">
        <f>C21+C23</f>
        <v>636418</v>
      </c>
      <c r="D20" s="496">
        <f>D21+D23</f>
        <v>216000</v>
      </c>
      <c r="E20" s="496">
        <f>E21+E23</f>
        <v>206000</v>
      </c>
      <c r="F20" s="496">
        <f>F21+F23</f>
        <v>101000</v>
      </c>
      <c r="G20" s="496">
        <f>G21+G23</f>
        <v>50000</v>
      </c>
    </row>
    <row r="21" spans="1:7" ht="15.75" customHeight="1">
      <c r="A21" s="7">
        <v>1</v>
      </c>
      <c r="B21" s="494" t="s">
        <v>523</v>
      </c>
      <c r="C21" s="495">
        <f>120000+39448+C22</f>
        <v>606418</v>
      </c>
      <c r="D21" s="495">
        <f>100000+96000</f>
        <v>196000</v>
      </c>
      <c r="E21" s="495">
        <f>100000+96000</f>
        <v>196000</v>
      </c>
      <c r="F21" s="495">
        <f>96000</f>
        <v>96000</v>
      </c>
      <c r="G21" s="495">
        <v>48000</v>
      </c>
    </row>
    <row r="22" spans="1:7" ht="48.75">
      <c r="A22" s="7">
        <v>2</v>
      </c>
      <c r="B22" s="494" t="s">
        <v>524</v>
      </c>
      <c r="C22" s="495">
        <v>446970</v>
      </c>
      <c r="D22" s="495"/>
      <c r="E22" s="495"/>
      <c r="F22" s="495"/>
      <c r="G22" s="495"/>
    </row>
    <row r="23" spans="1:7" ht="15" customHeight="1">
      <c r="A23" s="7">
        <v>3</v>
      </c>
      <c r="B23" s="494" t="s">
        <v>525</v>
      </c>
      <c r="C23" s="495">
        <f>2!E116</f>
        <v>30000</v>
      </c>
      <c r="D23" s="495">
        <f>2!F116</f>
        <v>20000</v>
      </c>
      <c r="E23" s="495">
        <v>10000</v>
      </c>
      <c r="F23" s="495">
        <v>5000</v>
      </c>
      <c r="G23" s="495">
        <v>2000</v>
      </c>
    </row>
    <row r="24" spans="1:7" ht="24.75">
      <c r="A24" s="7" t="s">
        <v>510</v>
      </c>
      <c r="B24" s="494" t="s">
        <v>526</v>
      </c>
      <c r="C24" s="496">
        <f>C25+C26+C27</f>
        <v>0</v>
      </c>
      <c r="D24" s="496">
        <f>D25+D27</f>
        <v>0</v>
      </c>
      <c r="E24" s="496">
        <f>E25+E27</f>
        <v>55000</v>
      </c>
      <c r="F24" s="496">
        <f>F25+F27</f>
        <v>103000</v>
      </c>
      <c r="G24" s="496">
        <f>G25+G27</f>
        <v>0</v>
      </c>
    </row>
    <row r="25" spans="1:7" ht="15.75" customHeight="1">
      <c r="A25" s="7">
        <v>1</v>
      </c>
      <c r="B25" s="494" t="s">
        <v>523</v>
      </c>
      <c r="C25" s="495"/>
      <c r="D25" s="495"/>
      <c r="E25" s="495">
        <v>50000</v>
      </c>
      <c r="F25" s="495">
        <v>100000</v>
      </c>
      <c r="G25" s="495"/>
    </row>
    <row r="26" spans="1:7" ht="48.75">
      <c r="A26" s="7">
        <v>2</v>
      </c>
      <c r="B26" s="494" t="s">
        <v>524</v>
      </c>
      <c r="C26" s="495"/>
      <c r="D26" s="495"/>
      <c r="E26" s="312"/>
      <c r="F26" s="312"/>
      <c r="G26" s="312"/>
    </row>
    <row r="27" spans="1:7" ht="15.75" customHeight="1">
      <c r="A27" s="7">
        <v>3</v>
      </c>
      <c r="B27" s="494" t="s">
        <v>525</v>
      </c>
      <c r="C27" s="495"/>
      <c r="D27" s="495"/>
      <c r="E27" s="495">
        <v>5000</v>
      </c>
      <c r="F27" s="495">
        <v>3000</v>
      </c>
      <c r="G27" s="495"/>
    </row>
    <row r="28" spans="1:7" ht="15.75" customHeight="1">
      <c r="A28" s="7" t="s">
        <v>512</v>
      </c>
      <c r="B28" s="494" t="s">
        <v>527</v>
      </c>
      <c r="C28" s="495"/>
      <c r="D28" s="495"/>
      <c r="E28" s="495"/>
      <c r="F28" s="495"/>
      <c r="G28" s="495"/>
    </row>
    <row r="29" spans="1:7" ht="24.75">
      <c r="A29" s="7" t="s">
        <v>514</v>
      </c>
      <c r="B29" s="494" t="s">
        <v>528</v>
      </c>
      <c r="C29" s="495"/>
      <c r="D29" s="495"/>
      <c r="E29" s="495"/>
      <c r="F29" s="495"/>
      <c r="G29" s="495"/>
    </row>
    <row r="30" spans="1:7" ht="16.5" customHeight="1">
      <c r="A30" s="491" t="s">
        <v>529</v>
      </c>
      <c r="B30" s="492" t="s">
        <v>530</v>
      </c>
      <c r="C30" s="493" t="e">
        <f>C9-C18</f>
        <v>#REF!</v>
      </c>
      <c r="D30" s="493" t="e">
        <f>D9-D18</f>
        <v>#REF!</v>
      </c>
      <c r="E30" s="493" t="e">
        <f>E9-E18</f>
        <v>#REF!</v>
      </c>
      <c r="F30" s="493" t="e">
        <f>F9-F18</f>
        <v>#REF!</v>
      </c>
      <c r="G30" s="493" t="e">
        <f>G9-G18</f>
        <v>#REF!</v>
      </c>
    </row>
    <row r="31" spans="1:7" ht="16.5" customHeight="1">
      <c r="A31" s="491" t="s">
        <v>531</v>
      </c>
      <c r="B31" s="492" t="s">
        <v>532</v>
      </c>
      <c r="C31" s="497">
        <f>'11'!C24</f>
        <v>536000</v>
      </c>
      <c r="D31" s="497">
        <f>'11'!D24</f>
        <v>490000</v>
      </c>
      <c r="E31" s="497">
        <f>'11'!E24</f>
        <v>244000</v>
      </c>
      <c r="F31" s="497">
        <f>'11'!F24</f>
        <v>48000</v>
      </c>
      <c r="G31" s="497">
        <f>'11'!G24</f>
        <v>0</v>
      </c>
    </row>
    <row r="32" spans="1:7" ht="48.75">
      <c r="A32" s="7">
        <v>1</v>
      </c>
      <c r="B32" s="494" t="s">
        <v>533</v>
      </c>
      <c r="C32" s="312">
        <f>C31</f>
        <v>536000</v>
      </c>
      <c r="D32" s="312">
        <f>D31</f>
        <v>490000</v>
      </c>
      <c r="E32" s="312">
        <f>E31</f>
        <v>244000</v>
      </c>
      <c r="F32" s="312">
        <f>F31</f>
        <v>48000</v>
      </c>
      <c r="G32" s="312">
        <f>G31</f>
        <v>0</v>
      </c>
    </row>
    <row r="33" spans="1:7" ht="12.75">
      <c r="A33" s="498" t="s">
        <v>534</v>
      </c>
      <c r="B33" s="499" t="s">
        <v>535</v>
      </c>
      <c r="C33" s="360" t="e">
        <f>C31/C9*100</f>
        <v>#REF!</v>
      </c>
      <c r="D33" s="360" t="e">
        <f>D31/D9*100</f>
        <v>#REF!</v>
      </c>
      <c r="E33" s="360" t="e">
        <f>E31/E9*100</f>
        <v>#REF!</v>
      </c>
      <c r="F33" s="360" t="e">
        <f>F31/F9*100</f>
        <v>#REF!</v>
      </c>
      <c r="G33" s="360" t="e">
        <f>G31/G9*100</f>
        <v>#REF!</v>
      </c>
    </row>
    <row r="34" spans="1:7" ht="24.75">
      <c r="A34" s="491" t="s">
        <v>536</v>
      </c>
      <c r="B34" s="499" t="s">
        <v>537</v>
      </c>
      <c r="C34" s="360" t="e">
        <f>C19/C9*100</f>
        <v>#REF!</v>
      </c>
      <c r="D34" s="360" t="e">
        <f>D19/D9*100</f>
        <v>#REF!</v>
      </c>
      <c r="E34" s="360" t="e">
        <f>E19/E9*100</f>
        <v>#REF!</v>
      </c>
      <c r="F34" s="360" t="e">
        <f>F19/F9*100</f>
        <v>#REF!</v>
      </c>
      <c r="G34" s="360" t="e">
        <f>G19/G9*100</f>
        <v>#REF!</v>
      </c>
    </row>
    <row r="35" spans="1:7" ht="12.75">
      <c r="A35" s="498" t="s">
        <v>538</v>
      </c>
      <c r="B35" s="499" t="s">
        <v>539</v>
      </c>
      <c r="C35" s="360"/>
      <c r="D35" s="360"/>
      <c r="E35" s="360"/>
      <c r="F35" s="360"/>
      <c r="G35" s="360"/>
    </row>
    <row r="36" spans="1:7" ht="24.75">
      <c r="A36" s="491" t="s">
        <v>540</v>
      </c>
      <c r="B36" s="499" t="s">
        <v>541</v>
      </c>
      <c r="C36" s="360"/>
      <c r="D36" s="360"/>
      <c r="E36" s="360"/>
      <c r="F36" s="360"/>
      <c r="G36" s="360"/>
    </row>
    <row r="39" spans="3:6" ht="15">
      <c r="C39" s="319"/>
      <c r="D39" s="319"/>
      <c r="E39" s="319"/>
      <c r="F39" s="319"/>
    </row>
    <row r="40" spans="3:6" ht="12.75">
      <c r="C40" s="288"/>
      <c r="D40" s="102"/>
      <c r="E40" s="102"/>
      <c r="F40" s="102"/>
    </row>
    <row r="41" spans="3:6" ht="12.75">
      <c r="C41" s="288"/>
      <c r="D41" s="102"/>
      <c r="E41" s="102"/>
      <c r="F41" s="102"/>
    </row>
    <row r="42" spans="3:6" ht="13.5">
      <c r="C42" s="323"/>
      <c r="D42" s="323"/>
      <c r="E42" s="323"/>
      <c r="F42" s="323"/>
    </row>
  </sheetData>
  <mergeCells count="5">
    <mergeCell ref="A5:F5"/>
    <mergeCell ref="A7:A8"/>
    <mergeCell ref="B7:B8"/>
    <mergeCell ref="C7:C8"/>
    <mergeCell ref="D7:G7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1"/>
  <sheetViews>
    <sheetView zoomScaleSheetLayoutView="55" workbookViewId="0" topLeftCell="A1">
      <selection activeCell="F107" sqref="F107"/>
    </sheetView>
  </sheetViews>
  <sheetFormatPr defaultColWidth="9.00390625" defaultRowHeight="12.75"/>
  <cols>
    <col min="1" max="1" width="6.00390625" style="101" customWidth="1"/>
    <col min="2" max="2" width="8.50390625" style="102" customWidth="1"/>
    <col min="3" max="3" width="6.125" style="102" customWidth="1"/>
    <col min="4" max="4" width="65.50390625" style="102" customWidth="1"/>
    <col min="5" max="5" width="18.25390625" style="102" customWidth="1"/>
    <col min="6" max="6" width="17.75390625" style="102" customWidth="1"/>
    <col min="7" max="7" width="20.875" style="102" customWidth="1"/>
    <col min="8" max="8" width="17.75390625" style="102" customWidth="1"/>
    <col min="9" max="9" width="15.50390625" style="102" customWidth="1"/>
    <col min="10" max="10" width="10.625" style="102" customWidth="1"/>
    <col min="11" max="11" width="14.125" style="102" customWidth="1"/>
    <col min="12" max="12" width="18.125" style="102" customWidth="1"/>
    <col min="13" max="244" width="9.00390625" style="102" customWidth="1"/>
    <col min="245" max="246" width="9.00390625" style="2" customWidth="1"/>
  </cols>
  <sheetData>
    <row r="1" spans="5:6" ht="12.75">
      <c r="E1" s="3" t="s">
        <v>149</v>
      </c>
      <c r="F1" s="4"/>
    </row>
    <row r="2" spans="5:6" ht="12.75">
      <c r="E2" s="3" t="s">
        <v>1</v>
      </c>
      <c r="F2" s="4"/>
    </row>
    <row r="3" spans="5:6" ht="12.75">
      <c r="E3" s="4" t="s">
        <v>150</v>
      </c>
      <c r="F3" s="4"/>
    </row>
    <row r="4" ht="9" customHeight="1"/>
    <row r="5" spans="1:256" s="105" customFormat="1" ht="17.25">
      <c r="A5" s="103" t="s">
        <v>151</v>
      </c>
      <c r="B5" s="103"/>
      <c r="C5" s="103"/>
      <c r="D5" s="103"/>
      <c r="E5" s="103"/>
      <c r="F5" s="103"/>
      <c r="G5"/>
      <c r="H5" s="104"/>
      <c r="IK5" s="2"/>
      <c r="IL5" s="2"/>
      <c r="IM5"/>
      <c r="IN5"/>
      <c r="IO5"/>
      <c r="IP5"/>
      <c r="IQ5"/>
      <c r="IR5"/>
      <c r="IS5"/>
      <c r="IT5"/>
      <c r="IU5"/>
      <c r="IV5"/>
    </row>
    <row r="6" spans="1:256" s="105" customFormat="1" ht="10.5" customHeight="1">
      <c r="A6" s="106"/>
      <c r="B6" s="106"/>
      <c r="C6" s="106"/>
      <c r="D6" s="106"/>
      <c r="E6"/>
      <c r="F6"/>
      <c r="G6"/>
      <c r="IK6" s="2"/>
      <c r="IL6" s="2"/>
      <c r="IM6"/>
      <c r="IN6"/>
      <c r="IO6"/>
      <c r="IP6"/>
      <c r="IQ6"/>
      <c r="IR6"/>
      <c r="IS6"/>
      <c r="IT6"/>
      <c r="IU6"/>
      <c r="IV6"/>
    </row>
    <row r="7" spans="1:256" s="108" customFormat="1" ht="15" customHeight="1">
      <c r="A7" s="7" t="s">
        <v>10</v>
      </c>
      <c r="B7" s="7" t="s">
        <v>11</v>
      </c>
      <c r="C7" s="7" t="s">
        <v>12</v>
      </c>
      <c r="D7" s="7" t="s">
        <v>152</v>
      </c>
      <c r="E7" s="107" t="s">
        <v>153</v>
      </c>
      <c r="F7" s="107" t="s">
        <v>154</v>
      </c>
      <c r="G7" s="107" t="s">
        <v>155</v>
      </c>
      <c r="H7" s="107"/>
      <c r="I7" s="107"/>
      <c r="J7" s="107"/>
      <c r="K7" s="107"/>
      <c r="L7" s="107"/>
      <c r="IK7" s="2"/>
      <c r="IL7" s="2"/>
      <c r="IM7"/>
      <c r="IN7"/>
      <c r="IO7"/>
      <c r="IP7"/>
      <c r="IQ7"/>
      <c r="IR7"/>
      <c r="IS7"/>
      <c r="IT7"/>
      <c r="IU7"/>
      <c r="IV7"/>
    </row>
    <row r="8" spans="1:256" s="108" customFormat="1" ht="15">
      <c r="A8" s="7"/>
      <c r="B8" s="7"/>
      <c r="C8" s="7"/>
      <c r="D8" s="7"/>
      <c r="E8" s="107"/>
      <c r="F8" s="107"/>
      <c r="G8" s="107" t="s">
        <v>156</v>
      </c>
      <c r="H8" s="107" t="s">
        <v>157</v>
      </c>
      <c r="I8" s="107"/>
      <c r="J8" s="107"/>
      <c r="K8" s="107"/>
      <c r="L8" s="107" t="s">
        <v>158</v>
      </c>
      <c r="IK8" s="2"/>
      <c r="IL8" s="2"/>
      <c r="IM8"/>
      <c r="IN8"/>
      <c r="IO8"/>
      <c r="IP8"/>
      <c r="IQ8"/>
      <c r="IR8"/>
      <c r="IS8"/>
      <c r="IT8"/>
      <c r="IU8"/>
      <c r="IV8"/>
    </row>
    <row r="9" spans="1:256" s="108" customFormat="1" ht="60.75" customHeight="1">
      <c r="A9" s="7"/>
      <c r="B9" s="7"/>
      <c r="C9" s="7"/>
      <c r="D9" s="7"/>
      <c r="E9" s="107"/>
      <c r="F9" s="107"/>
      <c r="G9" s="107"/>
      <c r="H9" s="107" t="s">
        <v>159</v>
      </c>
      <c r="I9" s="107" t="s">
        <v>160</v>
      </c>
      <c r="J9" s="107" t="s">
        <v>161</v>
      </c>
      <c r="K9" s="107" t="s">
        <v>162</v>
      </c>
      <c r="L9" s="107"/>
      <c r="IK9" s="2"/>
      <c r="IL9" s="2"/>
      <c r="IM9"/>
      <c r="IN9"/>
      <c r="IO9"/>
      <c r="IP9"/>
      <c r="IQ9"/>
      <c r="IR9"/>
      <c r="IS9"/>
      <c r="IT9"/>
      <c r="IU9"/>
      <c r="IV9"/>
    </row>
    <row r="10" spans="1:256" s="110" customFormat="1" ht="12.75">
      <c r="A10" s="10">
        <v>1</v>
      </c>
      <c r="B10" s="10">
        <v>2</v>
      </c>
      <c r="C10" s="109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IK10" s="2"/>
      <c r="IL10" s="2"/>
      <c r="IM10"/>
      <c r="IN10"/>
      <c r="IO10"/>
      <c r="IP10"/>
      <c r="IQ10"/>
      <c r="IR10"/>
      <c r="IS10"/>
      <c r="IT10"/>
      <c r="IU10"/>
      <c r="IV10"/>
    </row>
    <row r="11" spans="1:256" s="114" customFormat="1" ht="15">
      <c r="A11" s="111" t="s">
        <v>15</v>
      </c>
      <c r="B11" s="80" t="s">
        <v>16</v>
      </c>
      <c r="C11" s="80"/>
      <c r="D11" s="80"/>
      <c r="E11" s="112">
        <f>SUM(E12,E14,E19,E16)</f>
        <v>425183.54</v>
      </c>
      <c r="F11" s="112">
        <f>SUM(F12,F14,F19,F16)</f>
        <v>1143400</v>
      </c>
      <c r="G11" s="112">
        <f>SUM(G12,G14,G19,G16)</f>
        <v>8400</v>
      </c>
      <c r="H11" s="112">
        <f>SUM(H12,H14,H19,H16)</f>
        <v>0</v>
      </c>
      <c r="I11" s="112">
        <f>SUM(I12,I14,I19,I16)</f>
        <v>0</v>
      </c>
      <c r="J11" s="112">
        <f>SUM(J12,J14,J19,J16)</f>
        <v>0</v>
      </c>
      <c r="K11" s="112">
        <f>SUM(K12,K14,K19,K16)</f>
        <v>0</v>
      </c>
      <c r="L11" s="112">
        <f>SUM(L12,L14,L19,L16)</f>
        <v>1135000</v>
      </c>
      <c r="M11" s="113"/>
      <c r="IK11" s="2"/>
      <c r="IL11" s="2"/>
      <c r="IM11"/>
      <c r="IN11"/>
      <c r="IO11"/>
      <c r="IP11"/>
      <c r="IQ11"/>
      <c r="IR11"/>
      <c r="IS11"/>
      <c r="IT11"/>
      <c r="IU11"/>
      <c r="IV11"/>
    </row>
    <row r="12" spans="1:256" s="117" customFormat="1" ht="13.5">
      <c r="A12" s="115"/>
      <c r="B12" s="15" t="s">
        <v>163</v>
      </c>
      <c r="C12" s="16" t="s">
        <v>164</v>
      </c>
      <c r="D12" s="16"/>
      <c r="E12" s="17">
        <f>SUM(E13:E13)</f>
        <v>385000</v>
      </c>
      <c r="F12" s="17">
        <f>SUM(F13:F13)</f>
        <v>85000</v>
      </c>
      <c r="G12" s="17">
        <f>SUM(G13:G13)</f>
        <v>0</v>
      </c>
      <c r="H12" s="17">
        <f>SUM(H13:H13)</f>
        <v>0</v>
      </c>
      <c r="I12" s="17">
        <f>SUM(I13:I13)</f>
        <v>0</v>
      </c>
      <c r="J12" s="17">
        <f>SUM(J13:J13)</f>
        <v>0</v>
      </c>
      <c r="K12" s="17">
        <f>SUM(K13:K13)</f>
        <v>0</v>
      </c>
      <c r="L12" s="17">
        <f>SUM(L13:L13)</f>
        <v>85000</v>
      </c>
      <c r="M12" s="116"/>
      <c r="IK12" s="2"/>
      <c r="IL12" s="2"/>
      <c r="IM12"/>
      <c r="IN12"/>
      <c r="IO12"/>
      <c r="IP12"/>
      <c r="IQ12"/>
      <c r="IR12"/>
      <c r="IS12"/>
      <c r="IT12"/>
      <c r="IU12"/>
      <c r="IV12"/>
    </row>
    <row r="13" spans="1:256" s="122" customFormat="1" ht="12.75">
      <c r="A13" s="115"/>
      <c r="B13" s="19"/>
      <c r="C13" s="118">
        <v>6050</v>
      </c>
      <c r="D13" s="119" t="s">
        <v>165</v>
      </c>
      <c r="E13" s="120">
        <v>385000</v>
      </c>
      <c r="F13" s="120">
        <f>3!H12+3a!H12</f>
        <v>85000</v>
      </c>
      <c r="G13" s="121"/>
      <c r="H13" s="121"/>
      <c r="I13" s="121"/>
      <c r="J13" s="121"/>
      <c r="K13" s="121"/>
      <c r="L13" s="121">
        <f>F13</f>
        <v>85000</v>
      </c>
      <c r="M13" s="4"/>
      <c r="IK13" s="2"/>
      <c r="IL13" s="2"/>
      <c r="IM13"/>
      <c r="IN13"/>
      <c r="IO13"/>
      <c r="IP13"/>
      <c r="IQ13"/>
      <c r="IR13"/>
      <c r="IS13"/>
      <c r="IT13"/>
      <c r="IU13"/>
      <c r="IV13"/>
    </row>
    <row r="14" spans="1:13" ht="12.75">
      <c r="A14" s="115"/>
      <c r="B14" s="15" t="s">
        <v>166</v>
      </c>
      <c r="C14" s="56" t="s">
        <v>167</v>
      </c>
      <c r="D14" s="56"/>
      <c r="E14" s="17">
        <f>SUM(E15)</f>
        <v>4600</v>
      </c>
      <c r="F14" s="17">
        <f>SUM(F15)</f>
        <v>8400</v>
      </c>
      <c r="G14" s="123">
        <f>SUM(G15)</f>
        <v>8400</v>
      </c>
      <c r="H14" s="123">
        <f>SUM(H15)</f>
        <v>0</v>
      </c>
      <c r="I14" s="123">
        <f>SUM(I15)</f>
        <v>0</v>
      </c>
      <c r="J14" s="123">
        <f>SUM(J15)</f>
        <v>0</v>
      </c>
      <c r="K14" s="123">
        <f>SUM(K15)</f>
        <v>0</v>
      </c>
      <c r="L14" s="123">
        <f>SUM(L15)</f>
        <v>0</v>
      </c>
      <c r="M14" s="101"/>
    </row>
    <row r="15" spans="1:13" ht="25.5" customHeight="1">
      <c r="A15" s="115"/>
      <c r="B15" s="60"/>
      <c r="C15" s="124">
        <v>2850</v>
      </c>
      <c r="D15" s="20" t="s">
        <v>168</v>
      </c>
      <c r="E15" s="58">
        <v>4600</v>
      </c>
      <c r="F15" s="58">
        <v>8400</v>
      </c>
      <c r="G15" s="121">
        <f>F15</f>
        <v>8400</v>
      </c>
      <c r="H15" s="121"/>
      <c r="I15" s="121"/>
      <c r="J15" s="121"/>
      <c r="K15" s="121"/>
      <c r="L15" s="121"/>
      <c r="M15" s="101"/>
    </row>
    <row r="16" spans="1:13" ht="12.75">
      <c r="A16" s="115"/>
      <c r="B16" s="15" t="s">
        <v>20</v>
      </c>
      <c r="C16" s="16" t="s">
        <v>21</v>
      </c>
      <c r="D16" s="16"/>
      <c r="E16" s="17">
        <f>SUM(E17:E18)</f>
        <v>0</v>
      </c>
      <c r="F16" s="17">
        <f>SUM(F17:F18)</f>
        <v>1050000</v>
      </c>
      <c r="G16" s="17">
        <f>SUM(G17:G18)</f>
        <v>0</v>
      </c>
      <c r="H16" s="17">
        <f>SUM(H17:H18)</f>
        <v>0</v>
      </c>
      <c r="I16" s="17">
        <f>SUM(I17:I18)</f>
        <v>0</v>
      </c>
      <c r="J16" s="17">
        <f>SUM(J17:J18)</f>
        <v>0</v>
      </c>
      <c r="K16" s="17">
        <f>SUM(K17:K18)</f>
        <v>0</v>
      </c>
      <c r="L16" s="17">
        <f>SUM(L17:L18)</f>
        <v>1050000</v>
      </c>
      <c r="M16" s="101"/>
    </row>
    <row r="17" spans="1:13" ht="12.75">
      <c r="A17" s="115"/>
      <c r="B17" s="125"/>
      <c r="C17" s="126">
        <v>6058</v>
      </c>
      <c r="D17" s="119" t="s">
        <v>165</v>
      </c>
      <c r="E17" s="120"/>
      <c r="F17" s="120">
        <f>3a!K13+3a!K14+3a!K15+3a!K16</f>
        <v>625000</v>
      </c>
      <c r="G17" s="121"/>
      <c r="H17" s="121"/>
      <c r="I17" s="121"/>
      <c r="J17" s="121"/>
      <c r="K17" s="121"/>
      <c r="L17" s="121">
        <f>F17</f>
        <v>625000</v>
      </c>
      <c r="M17" s="101"/>
    </row>
    <row r="18" spans="1:13" ht="12.75">
      <c r="A18" s="115"/>
      <c r="B18" s="60"/>
      <c r="C18" s="126">
        <v>6059</v>
      </c>
      <c r="D18" s="119" t="s">
        <v>165</v>
      </c>
      <c r="E18" s="120"/>
      <c r="F18" s="120">
        <f>3a!H13+3a!H14+3a!H15+3a!H16</f>
        <v>425000</v>
      </c>
      <c r="G18" s="121"/>
      <c r="H18" s="121"/>
      <c r="I18" s="121"/>
      <c r="J18" s="121"/>
      <c r="K18" s="121"/>
      <c r="L18" s="121">
        <f>F18</f>
        <v>425000</v>
      </c>
      <c r="M18" s="101"/>
    </row>
    <row r="19" spans="1:13" ht="12.75">
      <c r="A19" s="115"/>
      <c r="B19" s="15" t="s">
        <v>22</v>
      </c>
      <c r="C19" s="16" t="s">
        <v>23</v>
      </c>
      <c r="D19" s="16"/>
      <c r="E19" s="23">
        <f>SUM(E20:E22)</f>
        <v>35583.54</v>
      </c>
      <c r="F19" s="23">
        <f>SUM(F20:F22)</f>
        <v>0</v>
      </c>
      <c r="G19" s="127">
        <f>SUM(G20:G22)</f>
        <v>0</v>
      </c>
      <c r="H19" s="128">
        <f>SUM(H20:H22)</f>
        <v>0</v>
      </c>
      <c r="I19" s="128">
        <f>SUM(I20:I22)</f>
        <v>0</v>
      </c>
      <c r="J19" s="128">
        <f>SUM(J20:J22)</f>
        <v>0</v>
      </c>
      <c r="K19" s="128">
        <f>SUM(K20:K22)</f>
        <v>0</v>
      </c>
      <c r="L19" s="128">
        <f>SUM(L20:L22)</f>
        <v>0</v>
      </c>
      <c r="M19" s="101"/>
    </row>
    <row r="20" spans="1:13" ht="12.75">
      <c r="A20" s="115"/>
      <c r="B20" s="19"/>
      <c r="C20" s="78">
        <v>4170</v>
      </c>
      <c r="D20" s="66" t="s">
        <v>169</v>
      </c>
      <c r="E20" s="21">
        <v>500</v>
      </c>
      <c r="F20" s="22"/>
      <c r="G20" s="121"/>
      <c r="H20" s="121"/>
      <c r="I20" s="121"/>
      <c r="J20" s="121"/>
      <c r="K20" s="121"/>
      <c r="L20" s="121"/>
      <c r="M20" s="101"/>
    </row>
    <row r="21" spans="1:13" ht="12.75">
      <c r="A21" s="115"/>
      <c r="B21" s="19"/>
      <c r="C21" s="7">
        <v>4210</v>
      </c>
      <c r="D21" s="129" t="s">
        <v>170</v>
      </c>
      <c r="E21" s="21">
        <v>197.71</v>
      </c>
      <c r="F21" s="22"/>
      <c r="G21" s="121"/>
      <c r="H21" s="121"/>
      <c r="I21" s="121"/>
      <c r="J21" s="121"/>
      <c r="K21" s="121"/>
      <c r="L21" s="121"/>
      <c r="M21" s="101"/>
    </row>
    <row r="22" spans="1:13" ht="12.75">
      <c r="A22" s="115"/>
      <c r="B22" s="60"/>
      <c r="C22" s="7">
        <v>4430</v>
      </c>
      <c r="D22" s="129" t="s">
        <v>171</v>
      </c>
      <c r="E22" s="21">
        <v>34885.83</v>
      </c>
      <c r="F22" s="22"/>
      <c r="G22" s="121"/>
      <c r="H22" s="121"/>
      <c r="I22" s="121"/>
      <c r="J22" s="121"/>
      <c r="K22" s="121"/>
      <c r="L22" s="121"/>
      <c r="M22" s="101"/>
    </row>
    <row r="23" spans="1:13" ht="14.25">
      <c r="A23" s="111" t="s">
        <v>172</v>
      </c>
      <c r="B23" s="130" t="s">
        <v>173</v>
      </c>
      <c r="C23" s="130"/>
      <c r="D23" s="130"/>
      <c r="E23" s="112">
        <f>SUM(E24)</f>
        <v>46000</v>
      </c>
      <c r="F23" s="112">
        <f>SUM(F24)</f>
        <v>50000</v>
      </c>
      <c r="G23" s="131">
        <f>SUM(G24)</f>
        <v>50000</v>
      </c>
      <c r="H23" s="131">
        <f>SUM(H24)</f>
        <v>0</v>
      </c>
      <c r="I23" s="131">
        <f>SUM(I24)</f>
        <v>0</v>
      </c>
      <c r="J23" s="131">
        <f>SUM(J24)</f>
        <v>0</v>
      </c>
      <c r="K23" s="131">
        <f>SUM(K24)</f>
        <v>0</v>
      </c>
      <c r="L23" s="131">
        <f>SUM(L24)</f>
        <v>0</v>
      </c>
      <c r="M23" s="101"/>
    </row>
    <row r="24" spans="1:13" ht="13.5">
      <c r="A24" s="31"/>
      <c r="B24" s="32" t="s">
        <v>174</v>
      </c>
      <c r="C24" s="88" t="s">
        <v>175</v>
      </c>
      <c r="D24" s="88"/>
      <c r="E24" s="34">
        <f>SUM(E25:E25)</f>
        <v>46000</v>
      </c>
      <c r="F24" s="34">
        <f>SUM(F25:F25)</f>
        <v>50000</v>
      </c>
      <c r="G24" s="123">
        <f>SUM(G25:G25)</f>
        <v>50000</v>
      </c>
      <c r="H24" s="123">
        <f>SUM(H25:H25)</f>
        <v>0</v>
      </c>
      <c r="I24" s="123">
        <f>SUM(I25:I25)</f>
        <v>0</v>
      </c>
      <c r="J24" s="123">
        <f>SUM(J25:J25)</f>
        <v>0</v>
      </c>
      <c r="K24" s="123">
        <f>SUM(K25:K25)</f>
        <v>0</v>
      </c>
      <c r="L24" s="123">
        <f>SUM(L25:L25)</f>
        <v>0</v>
      </c>
      <c r="M24" s="101"/>
    </row>
    <row r="25" spans="1:13" ht="13.5">
      <c r="A25" s="31"/>
      <c r="B25" s="96"/>
      <c r="C25" s="7">
        <v>4300</v>
      </c>
      <c r="D25" s="129" t="s">
        <v>176</v>
      </c>
      <c r="E25" s="58">
        <v>46000</v>
      </c>
      <c r="F25" s="58">
        <v>50000</v>
      </c>
      <c r="G25" s="121">
        <f>F25</f>
        <v>50000</v>
      </c>
      <c r="H25" s="121"/>
      <c r="I25" s="121"/>
      <c r="J25" s="121"/>
      <c r="K25" s="121"/>
      <c r="L25" s="121"/>
      <c r="M25" s="101"/>
    </row>
    <row r="26" spans="1:13" ht="13.5">
      <c r="A26" s="79">
        <v>600</v>
      </c>
      <c r="B26" s="80" t="s">
        <v>177</v>
      </c>
      <c r="C26" s="80"/>
      <c r="D26" s="80"/>
      <c r="E26" s="112">
        <f>SUM(E27)</f>
        <v>166000</v>
      </c>
      <c r="F26" s="112">
        <f>SUM(F27)</f>
        <v>145000</v>
      </c>
      <c r="G26" s="131">
        <f>SUM(G27)</f>
        <v>55000</v>
      </c>
      <c r="H26" s="131">
        <f>SUM(H27)</f>
        <v>0</v>
      </c>
      <c r="I26" s="131">
        <f>SUM(I27)</f>
        <v>0</v>
      </c>
      <c r="J26" s="131">
        <f>SUM(J27)</f>
        <v>0</v>
      </c>
      <c r="K26" s="131">
        <f>SUM(K27)</f>
        <v>0</v>
      </c>
      <c r="L26" s="131">
        <f>SUM(L27)</f>
        <v>90000</v>
      </c>
      <c r="M26" s="101"/>
    </row>
    <row r="27" spans="1:13" ht="12.75" customHeight="1">
      <c r="A27" s="132"/>
      <c r="B27" s="15" t="s">
        <v>178</v>
      </c>
      <c r="C27" s="56" t="s">
        <v>179</v>
      </c>
      <c r="D27" s="56"/>
      <c r="E27" s="17">
        <f>SUM(E28:E31)</f>
        <v>166000</v>
      </c>
      <c r="F27" s="17">
        <f>SUM(F28:F31)</f>
        <v>145000</v>
      </c>
      <c r="G27" s="123">
        <f>SUM(G28:G31)</f>
        <v>55000</v>
      </c>
      <c r="H27" s="123">
        <f>SUM(H28:H31)</f>
        <v>0</v>
      </c>
      <c r="I27" s="123">
        <f>SUM(I28:I31)</f>
        <v>0</v>
      </c>
      <c r="J27" s="123">
        <f>SUM(J28:J31)</f>
        <v>0</v>
      </c>
      <c r="K27" s="123">
        <f>SUM(K28:K31)</f>
        <v>0</v>
      </c>
      <c r="L27" s="123">
        <f>SUM(L28:L31)</f>
        <v>90000</v>
      </c>
      <c r="M27" s="101"/>
    </row>
    <row r="28" spans="1:13" ht="12.75" customHeight="1">
      <c r="A28" s="132"/>
      <c r="B28" s="14"/>
      <c r="C28" s="78">
        <v>4170</v>
      </c>
      <c r="D28" s="66" t="s">
        <v>169</v>
      </c>
      <c r="E28" s="133">
        <v>1000</v>
      </c>
      <c r="F28" s="133"/>
      <c r="G28" s="121">
        <f>F28</f>
        <v>0</v>
      </c>
      <c r="H28" s="121">
        <f>G28</f>
        <v>0</v>
      </c>
      <c r="I28" s="121"/>
      <c r="J28" s="121"/>
      <c r="K28" s="121"/>
      <c r="L28" s="121"/>
      <c r="M28" s="101"/>
    </row>
    <row r="29" spans="1:256" s="117" customFormat="1" ht="12.75" customHeight="1">
      <c r="A29" s="132"/>
      <c r="B29" s="134"/>
      <c r="C29" s="7">
        <v>4210</v>
      </c>
      <c r="D29" s="129" t="s">
        <v>170</v>
      </c>
      <c r="E29" s="133">
        <v>5000</v>
      </c>
      <c r="F29" s="133">
        <v>5000</v>
      </c>
      <c r="G29" s="121">
        <f>F29</f>
        <v>5000</v>
      </c>
      <c r="H29" s="121"/>
      <c r="I29" s="131"/>
      <c r="J29" s="131"/>
      <c r="K29" s="131"/>
      <c r="L29" s="121"/>
      <c r="M29" s="116"/>
      <c r="IK29" s="2"/>
      <c r="IL29" s="2"/>
      <c r="IM29"/>
      <c r="IN29"/>
      <c r="IO29"/>
      <c r="IP29"/>
      <c r="IQ29"/>
      <c r="IR29"/>
      <c r="IS29"/>
      <c r="IT29"/>
      <c r="IU29"/>
      <c r="IV29"/>
    </row>
    <row r="30" spans="1:256" s="117" customFormat="1" ht="12.75" customHeight="1">
      <c r="A30" s="132"/>
      <c r="B30" s="134"/>
      <c r="C30" s="7">
        <v>4300</v>
      </c>
      <c r="D30" s="129" t="s">
        <v>176</v>
      </c>
      <c r="E30" s="133">
        <v>150000</v>
      </c>
      <c r="F30" s="133">
        <v>50000</v>
      </c>
      <c r="G30" s="121">
        <f>F30</f>
        <v>50000</v>
      </c>
      <c r="H30" s="121"/>
      <c r="I30" s="131"/>
      <c r="J30" s="131"/>
      <c r="K30" s="131"/>
      <c r="L30" s="121"/>
      <c r="M30" s="116"/>
      <c r="IK30" s="2"/>
      <c r="IL30" s="2"/>
      <c r="IM30"/>
      <c r="IN30"/>
      <c r="IO30"/>
      <c r="IP30"/>
      <c r="IQ30"/>
      <c r="IR30"/>
      <c r="IS30"/>
      <c r="IT30"/>
      <c r="IU30"/>
      <c r="IV30"/>
    </row>
    <row r="31" spans="1:256" s="117" customFormat="1" ht="12.75" customHeight="1">
      <c r="A31" s="132"/>
      <c r="B31" s="134"/>
      <c r="C31" s="126">
        <v>6050</v>
      </c>
      <c r="D31" s="119" t="s">
        <v>165</v>
      </c>
      <c r="E31" s="135">
        <v>10000</v>
      </c>
      <c r="F31" s="135">
        <f>3!H13+3a!H17</f>
        <v>90000</v>
      </c>
      <c r="G31" s="121"/>
      <c r="H31" s="121"/>
      <c r="I31" s="131"/>
      <c r="J31" s="131"/>
      <c r="K31" s="131"/>
      <c r="L31" s="121">
        <f>F31</f>
        <v>90000</v>
      </c>
      <c r="M31" s="116"/>
      <c r="IK31" s="2"/>
      <c r="IL31" s="2"/>
      <c r="IM31"/>
      <c r="IN31"/>
      <c r="IO31"/>
      <c r="IP31"/>
      <c r="IQ31"/>
      <c r="IR31"/>
      <c r="IS31"/>
      <c r="IT31"/>
      <c r="IU31"/>
      <c r="IV31"/>
    </row>
    <row r="32" spans="1:13" ht="13.5">
      <c r="A32" s="79">
        <v>630</v>
      </c>
      <c r="B32" s="80" t="s">
        <v>180</v>
      </c>
      <c r="C32" s="80"/>
      <c r="D32" s="80"/>
      <c r="E32" s="112">
        <f>SUM(E33)</f>
        <v>45902</v>
      </c>
      <c r="F32" s="112">
        <f>SUM(F33)</f>
        <v>30943</v>
      </c>
      <c r="G32" s="131">
        <f>SUM(G33)</f>
        <v>30943</v>
      </c>
      <c r="H32" s="131">
        <f>SUM(H33)</f>
        <v>9447</v>
      </c>
      <c r="I32" s="131">
        <f>SUM(I33)</f>
        <v>4500</v>
      </c>
      <c r="J32" s="131">
        <f>SUM(J33)</f>
        <v>0</v>
      </c>
      <c r="K32" s="131">
        <f>SUM(K33)</f>
        <v>0</v>
      </c>
      <c r="L32" s="131">
        <f>SUM(L33)</f>
        <v>0</v>
      </c>
      <c r="M32" s="101"/>
    </row>
    <row r="33" spans="1:13" ht="12.75" customHeight="1">
      <c r="A33" s="132"/>
      <c r="B33" s="15" t="s">
        <v>181</v>
      </c>
      <c r="C33" s="56" t="s">
        <v>182</v>
      </c>
      <c r="D33" s="56"/>
      <c r="E33" s="17">
        <f>SUM(E34:E43)</f>
        <v>45902</v>
      </c>
      <c r="F33" s="17">
        <f>SUM(F34:F43)</f>
        <v>30943</v>
      </c>
      <c r="G33" s="17">
        <f>SUM(G34:G43)</f>
        <v>30943</v>
      </c>
      <c r="H33" s="17">
        <f>SUM(H34:H43)</f>
        <v>9447</v>
      </c>
      <c r="I33" s="17">
        <f>SUM(I34:I43)</f>
        <v>4500</v>
      </c>
      <c r="J33" s="17">
        <f>SUM(J34:J43)</f>
        <v>0</v>
      </c>
      <c r="K33" s="17">
        <f>SUM(K34:K43)</f>
        <v>0</v>
      </c>
      <c r="L33" s="17">
        <f>SUM(L34:L43)</f>
        <v>0</v>
      </c>
      <c r="M33" s="101"/>
    </row>
    <row r="34" spans="1:13" ht="12.75" customHeight="1">
      <c r="A34" s="132"/>
      <c r="B34" s="14"/>
      <c r="C34" s="136">
        <v>2320</v>
      </c>
      <c r="D34" s="137" t="s">
        <v>183</v>
      </c>
      <c r="E34" s="133">
        <v>4500</v>
      </c>
      <c r="F34" s="133">
        <v>4500</v>
      </c>
      <c r="G34" s="121">
        <f>F34</f>
        <v>4500</v>
      </c>
      <c r="H34" s="121"/>
      <c r="I34" s="121">
        <f>G34</f>
        <v>4500</v>
      </c>
      <c r="J34" s="121"/>
      <c r="K34" s="121"/>
      <c r="L34" s="121"/>
      <c r="M34" s="101"/>
    </row>
    <row r="35" spans="1:13" ht="12.75" customHeight="1">
      <c r="A35" s="132"/>
      <c r="B35" s="14"/>
      <c r="C35" s="7">
        <v>4010</v>
      </c>
      <c r="D35" s="129" t="s">
        <v>184</v>
      </c>
      <c r="E35" s="133">
        <v>5000</v>
      </c>
      <c r="F35" s="133">
        <f>1126*6+11</f>
        <v>6767</v>
      </c>
      <c r="G35" s="121">
        <f>F35</f>
        <v>6767</v>
      </c>
      <c r="H35" s="121">
        <f>G35</f>
        <v>6767</v>
      </c>
      <c r="I35" s="121"/>
      <c r="J35" s="121"/>
      <c r="K35" s="121"/>
      <c r="L35" s="121"/>
      <c r="M35" s="101"/>
    </row>
    <row r="36" spans="1:256" s="114" customFormat="1" ht="12.75" customHeight="1">
      <c r="A36" s="132"/>
      <c r="B36" s="134"/>
      <c r="C36" s="7">
        <v>4100</v>
      </c>
      <c r="D36" s="138" t="s">
        <v>185</v>
      </c>
      <c r="E36" s="133">
        <v>1500</v>
      </c>
      <c r="F36" s="133">
        <v>1500</v>
      </c>
      <c r="G36" s="121">
        <f>F36</f>
        <v>1500</v>
      </c>
      <c r="H36" s="121">
        <f>G36</f>
        <v>1500</v>
      </c>
      <c r="I36" s="139"/>
      <c r="J36" s="139"/>
      <c r="K36" s="139"/>
      <c r="L36" s="139"/>
      <c r="M36" s="113"/>
      <c r="IK36" s="2"/>
      <c r="IL36" s="2"/>
      <c r="IM36"/>
      <c r="IN36"/>
      <c r="IO36"/>
      <c r="IP36"/>
      <c r="IQ36"/>
      <c r="IR36"/>
      <c r="IS36"/>
      <c r="IT36"/>
      <c r="IU36"/>
      <c r="IV36"/>
    </row>
    <row r="37" spans="1:256" s="114" customFormat="1" ht="12.75" customHeight="1">
      <c r="A37" s="132"/>
      <c r="B37" s="134"/>
      <c r="C37" s="7">
        <v>4110</v>
      </c>
      <c r="D37" s="129" t="s">
        <v>186</v>
      </c>
      <c r="E37" s="133">
        <v>900</v>
      </c>
      <c r="F37" s="133">
        <v>1020</v>
      </c>
      <c r="G37" s="121">
        <f>F37</f>
        <v>1020</v>
      </c>
      <c r="H37" s="121">
        <f>G37</f>
        <v>1020</v>
      </c>
      <c r="I37" s="139"/>
      <c r="J37" s="139"/>
      <c r="K37" s="139"/>
      <c r="L37" s="139"/>
      <c r="M37" s="113"/>
      <c r="IK37" s="2"/>
      <c r="IL37" s="2"/>
      <c r="IM37"/>
      <c r="IN37"/>
      <c r="IO37"/>
      <c r="IP37"/>
      <c r="IQ37"/>
      <c r="IR37"/>
      <c r="IS37"/>
      <c r="IT37"/>
      <c r="IU37"/>
      <c r="IV37"/>
    </row>
    <row r="38" spans="1:256" s="114" customFormat="1" ht="12.75" customHeight="1">
      <c r="A38" s="132"/>
      <c r="B38" s="134"/>
      <c r="C38" s="7">
        <v>4120</v>
      </c>
      <c r="D38" s="129" t="s">
        <v>187</v>
      </c>
      <c r="E38" s="133">
        <v>100</v>
      </c>
      <c r="F38" s="133">
        <v>160</v>
      </c>
      <c r="G38" s="121">
        <f>F38</f>
        <v>160</v>
      </c>
      <c r="H38" s="121">
        <f>G38</f>
        <v>160</v>
      </c>
      <c r="I38" s="139"/>
      <c r="J38" s="139"/>
      <c r="K38" s="139"/>
      <c r="L38" s="139"/>
      <c r="M38" s="113"/>
      <c r="IK38" s="2"/>
      <c r="IL38" s="2"/>
      <c r="IM38"/>
      <c r="IN38"/>
      <c r="IO38"/>
      <c r="IP38"/>
      <c r="IQ38"/>
      <c r="IR38"/>
      <c r="IS38"/>
      <c r="IT38"/>
      <c r="IU38"/>
      <c r="IV38"/>
    </row>
    <row r="39" spans="1:256" s="117" customFormat="1" ht="12.75" customHeight="1">
      <c r="A39" s="132"/>
      <c r="B39" s="134"/>
      <c r="C39" s="7">
        <v>4210</v>
      </c>
      <c r="D39" s="129" t="s">
        <v>170</v>
      </c>
      <c r="E39" s="133">
        <v>3000</v>
      </c>
      <c r="F39" s="133">
        <v>13000</v>
      </c>
      <c r="G39" s="121">
        <f>F39</f>
        <v>13000</v>
      </c>
      <c r="H39" s="121"/>
      <c r="I39" s="131"/>
      <c r="J39" s="131"/>
      <c r="K39" s="131"/>
      <c r="L39" s="131"/>
      <c r="M39" s="116"/>
      <c r="IK39" s="2"/>
      <c r="IL39" s="2"/>
      <c r="IM39"/>
      <c r="IN39"/>
      <c r="IO39"/>
      <c r="IP39"/>
      <c r="IQ39"/>
      <c r="IR39"/>
      <c r="IS39"/>
      <c r="IT39"/>
      <c r="IU39"/>
      <c r="IV39"/>
    </row>
    <row r="40" spans="1:13" ht="12.75" customHeight="1">
      <c r="A40" s="132"/>
      <c r="B40" s="134"/>
      <c r="C40" s="7">
        <v>4300</v>
      </c>
      <c r="D40" s="129" t="s">
        <v>188</v>
      </c>
      <c r="E40" s="133">
        <v>4000</v>
      </c>
      <c r="F40" s="133">
        <v>1000</v>
      </c>
      <c r="G40" s="121">
        <f>F40</f>
        <v>1000</v>
      </c>
      <c r="H40" s="121"/>
      <c r="I40" s="121"/>
      <c r="J40" s="121"/>
      <c r="K40" s="121"/>
      <c r="L40" s="121"/>
      <c r="M40" s="101"/>
    </row>
    <row r="41" spans="1:13" ht="12.75" customHeight="1">
      <c r="A41" s="132"/>
      <c r="B41" s="134"/>
      <c r="C41" s="7">
        <v>4430</v>
      </c>
      <c r="D41" s="129" t="s">
        <v>171</v>
      </c>
      <c r="E41" s="133">
        <v>2500</v>
      </c>
      <c r="F41" s="133">
        <v>2500</v>
      </c>
      <c r="G41" s="121">
        <f>F41</f>
        <v>2500</v>
      </c>
      <c r="H41" s="121"/>
      <c r="I41" s="121"/>
      <c r="J41" s="121"/>
      <c r="K41" s="121"/>
      <c r="L41" s="121"/>
      <c r="M41" s="101"/>
    </row>
    <row r="42" spans="1:13" ht="12.75" customHeight="1">
      <c r="A42" s="132"/>
      <c r="B42" s="134"/>
      <c r="C42" s="7">
        <v>4440</v>
      </c>
      <c r="D42" s="129" t="s">
        <v>189</v>
      </c>
      <c r="E42" s="133">
        <v>402</v>
      </c>
      <c r="F42" s="133">
        <v>496</v>
      </c>
      <c r="G42" s="121">
        <f>F42</f>
        <v>496</v>
      </c>
      <c r="H42" s="121"/>
      <c r="I42" s="121"/>
      <c r="J42" s="121"/>
      <c r="K42" s="121"/>
      <c r="L42" s="121"/>
      <c r="M42" s="101"/>
    </row>
    <row r="43" spans="1:13" ht="12.75" customHeight="1">
      <c r="A43" s="132"/>
      <c r="B43" s="140"/>
      <c r="C43" s="126">
        <v>6050</v>
      </c>
      <c r="D43" s="119" t="s">
        <v>165</v>
      </c>
      <c r="E43" s="135">
        <v>24000</v>
      </c>
      <c r="F43" s="135"/>
      <c r="G43" s="121"/>
      <c r="H43" s="121"/>
      <c r="I43" s="121"/>
      <c r="J43" s="121"/>
      <c r="K43" s="121"/>
      <c r="L43" s="121">
        <f>F43</f>
        <v>0</v>
      </c>
      <c r="M43" s="101"/>
    </row>
    <row r="44" spans="1:13" ht="12.75" customHeight="1">
      <c r="A44" s="111" t="s">
        <v>32</v>
      </c>
      <c r="B44" s="80" t="s">
        <v>33</v>
      </c>
      <c r="C44" s="80"/>
      <c r="D44" s="80"/>
      <c r="E44" s="112">
        <f>SUM(E45)</f>
        <v>35000</v>
      </c>
      <c r="F44" s="112">
        <f>SUM(F45)</f>
        <v>25000</v>
      </c>
      <c r="G44" s="131">
        <f>SUM(G45)</f>
        <v>5000</v>
      </c>
      <c r="H44" s="131">
        <f>SUM(H45)</f>
        <v>0</v>
      </c>
      <c r="I44" s="131">
        <f>SUM(I45)</f>
        <v>0</v>
      </c>
      <c r="J44" s="131">
        <f>SUM(J45)</f>
        <v>0</v>
      </c>
      <c r="K44" s="131">
        <f>SUM(K45)</f>
        <v>0</v>
      </c>
      <c r="L44" s="131">
        <f>SUM(L45)</f>
        <v>20000</v>
      </c>
      <c r="M44" s="101"/>
    </row>
    <row r="45" spans="1:13" ht="12.75" customHeight="1">
      <c r="A45" s="40"/>
      <c r="B45" s="32" t="s">
        <v>34</v>
      </c>
      <c r="C45" s="41" t="s">
        <v>35</v>
      </c>
      <c r="D45" s="41"/>
      <c r="E45" s="34">
        <f>SUM(E46:E47)</f>
        <v>35000</v>
      </c>
      <c r="F45" s="34">
        <f>SUM(F46:F47)</f>
        <v>25000</v>
      </c>
      <c r="G45" s="123">
        <f>SUM(G46:G47)</f>
        <v>5000</v>
      </c>
      <c r="H45" s="123">
        <f>SUM(H46:H47)</f>
        <v>0</v>
      </c>
      <c r="I45" s="123">
        <f>SUM(I46:I47)</f>
        <v>0</v>
      </c>
      <c r="J45" s="123">
        <f>SUM(J46:J47)</f>
        <v>0</v>
      </c>
      <c r="K45" s="123">
        <f>SUM(K46:K47)</f>
        <v>0</v>
      </c>
      <c r="L45" s="123">
        <f>SUM(L46:L47)</f>
        <v>20000</v>
      </c>
      <c r="M45" s="101"/>
    </row>
    <row r="46" spans="1:13" ht="12.75" customHeight="1">
      <c r="A46" s="40"/>
      <c r="B46" s="42"/>
      <c r="C46" s="7">
        <v>4430</v>
      </c>
      <c r="D46" s="129" t="s">
        <v>171</v>
      </c>
      <c r="E46" s="58">
        <v>5000</v>
      </c>
      <c r="F46" s="58">
        <v>5000</v>
      </c>
      <c r="G46" s="121">
        <f>F46</f>
        <v>5000</v>
      </c>
      <c r="H46" s="121"/>
      <c r="I46" s="121"/>
      <c r="J46" s="121"/>
      <c r="K46" s="121"/>
      <c r="L46" s="121"/>
      <c r="M46" s="101"/>
    </row>
    <row r="47" spans="1:13" ht="12.75" customHeight="1">
      <c r="A47" s="40"/>
      <c r="B47" s="96"/>
      <c r="C47" s="126">
        <v>6050</v>
      </c>
      <c r="D47" s="119" t="s">
        <v>165</v>
      </c>
      <c r="E47" s="135">
        <v>30000</v>
      </c>
      <c r="F47" s="135">
        <v>20000</v>
      </c>
      <c r="G47" s="121"/>
      <c r="H47" s="121"/>
      <c r="I47" s="121"/>
      <c r="J47" s="121"/>
      <c r="K47" s="121"/>
      <c r="L47" s="121">
        <f>F47</f>
        <v>20000</v>
      </c>
      <c r="M47" s="101"/>
    </row>
    <row r="48" spans="1:13" ht="12.75" customHeight="1">
      <c r="A48" s="111" t="s">
        <v>43</v>
      </c>
      <c r="B48" s="80" t="s">
        <v>44</v>
      </c>
      <c r="C48" s="80"/>
      <c r="D48" s="80"/>
      <c r="E48" s="112">
        <f>SUM(E49)</f>
        <v>2500</v>
      </c>
      <c r="F48" s="112">
        <f>SUM(F49)</f>
        <v>500</v>
      </c>
      <c r="G48" s="131">
        <f>SUM(G49)</f>
        <v>500</v>
      </c>
      <c r="H48" s="131">
        <f>SUM(H49)</f>
        <v>500</v>
      </c>
      <c r="I48" s="131">
        <f>SUM(I49)</f>
        <v>0</v>
      </c>
      <c r="J48" s="131">
        <f>SUM(J49)</f>
        <v>0</v>
      </c>
      <c r="K48" s="131">
        <f>SUM(K49)</f>
        <v>0</v>
      </c>
      <c r="L48" s="131">
        <f>SUM(L49)</f>
        <v>0</v>
      </c>
      <c r="M48" s="101"/>
    </row>
    <row r="49" spans="1:13" ht="12.75" customHeight="1">
      <c r="A49" s="46"/>
      <c r="B49" s="32" t="s">
        <v>46</v>
      </c>
      <c r="C49" s="33" t="s">
        <v>47</v>
      </c>
      <c r="D49" s="33"/>
      <c r="E49" s="34">
        <f>SUM(E50:E51)</f>
        <v>2500</v>
      </c>
      <c r="F49" s="34">
        <f>SUM(F50:F51)</f>
        <v>500</v>
      </c>
      <c r="G49" s="123">
        <f>SUM(G50:G51)</f>
        <v>500</v>
      </c>
      <c r="H49" s="123">
        <f>SUM(H50:H51)</f>
        <v>500</v>
      </c>
      <c r="I49" s="123">
        <f>SUM(I50:I51)</f>
        <v>0</v>
      </c>
      <c r="J49" s="123">
        <f>SUM(J50:J51)</f>
        <v>0</v>
      </c>
      <c r="K49" s="123">
        <f>SUM(K50:K51)</f>
        <v>0</v>
      </c>
      <c r="L49" s="123">
        <f>SUM(L50:L51)</f>
        <v>0</v>
      </c>
      <c r="M49" s="101"/>
    </row>
    <row r="50" spans="1:13" ht="12.75" customHeight="1">
      <c r="A50" s="48"/>
      <c r="B50" s="44"/>
      <c r="C50" s="78">
        <v>4170</v>
      </c>
      <c r="D50" s="66" t="s">
        <v>169</v>
      </c>
      <c r="E50" s="58">
        <v>500</v>
      </c>
      <c r="F50" s="58">
        <v>500</v>
      </c>
      <c r="G50" s="121">
        <f>E50</f>
        <v>500</v>
      </c>
      <c r="H50" s="121">
        <f>G50</f>
        <v>500</v>
      </c>
      <c r="I50" s="121"/>
      <c r="J50" s="121"/>
      <c r="K50" s="121"/>
      <c r="L50" s="121"/>
      <c r="M50" s="101"/>
    </row>
    <row r="51" spans="1:13" ht="12.75" customHeight="1">
      <c r="A51" s="68"/>
      <c r="B51" s="37"/>
      <c r="C51" s="124">
        <v>4300</v>
      </c>
      <c r="D51" s="129" t="s">
        <v>190</v>
      </c>
      <c r="E51" s="58">
        <v>2000</v>
      </c>
      <c r="F51" s="58"/>
      <c r="G51" s="121"/>
      <c r="H51" s="121"/>
      <c r="I51" s="121"/>
      <c r="J51" s="121"/>
      <c r="K51" s="121"/>
      <c r="L51" s="121"/>
      <c r="M51" s="101"/>
    </row>
    <row r="52" spans="1:13" ht="13.5">
      <c r="A52" s="79">
        <v>750</v>
      </c>
      <c r="B52" s="80" t="s">
        <v>191</v>
      </c>
      <c r="C52" s="80"/>
      <c r="D52" s="80"/>
      <c r="E52" s="112">
        <f>SUM(E53,E60,E65)</f>
        <v>1046395</v>
      </c>
      <c r="F52" s="112">
        <f>SUM(F53,F60,F65)</f>
        <v>1063806</v>
      </c>
      <c r="G52" s="131">
        <f>SUM(G53,G60,G65)</f>
        <v>1058806</v>
      </c>
      <c r="H52" s="131">
        <f>SUM(H53,H60,H65)</f>
        <v>826892</v>
      </c>
      <c r="I52" s="131">
        <f>SUM(I53,I60,I65)</f>
        <v>0</v>
      </c>
      <c r="J52" s="131">
        <f>SUM(J53,J60,J65)</f>
        <v>0</v>
      </c>
      <c r="K52" s="131">
        <f>SUM(K53,K60,K65)</f>
        <v>0</v>
      </c>
      <c r="L52" s="131">
        <f>SUM(L53,L60,L65)</f>
        <v>5000</v>
      </c>
      <c r="M52" s="101"/>
    </row>
    <row r="53" spans="1:13" ht="12.75" customHeight="1">
      <c r="A53" s="125"/>
      <c r="B53" s="83">
        <v>75011</v>
      </c>
      <c r="C53" s="56" t="s">
        <v>53</v>
      </c>
      <c r="D53" s="56"/>
      <c r="E53" s="17">
        <f>SUM(E54:E59)</f>
        <v>30135</v>
      </c>
      <c r="F53" s="17">
        <f>SUM(F54:F59)</f>
        <v>25192</v>
      </c>
      <c r="G53" s="123">
        <f>SUM(G54:G59)</f>
        <v>25192</v>
      </c>
      <c r="H53" s="123">
        <f>SUM(H54:H59)</f>
        <v>24392</v>
      </c>
      <c r="I53" s="123">
        <f>SUM(I54:I59)</f>
        <v>0</v>
      </c>
      <c r="J53" s="123">
        <f>SUM(J54:J59)</f>
        <v>0</v>
      </c>
      <c r="K53" s="123">
        <f>SUM(K54:K59)</f>
        <v>0</v>
      </c>
      <c r="L53" s="123">
        <f>SUM(L54:L59)</f>
        <v>0</v>
      </c>
      <c r="M53" s="101"/>
    </row>
    <row r="54" spans="1:256" s="114" customFormat="1" ht="12.75" customHeight="1">
      <c r="A54" s="125"/>
      <c r="B54" s="141"/>
      <c r="C54" s="7">
        <v>4010</v>
      </c>
      <c r="D54" s="129" t="s">
        <v>184</v>
      </c>
      <c r="E54" s="133">
        <v>21900</v>
      </c>
      <c r="F54" s="133">
        <v>18710</v>
      </c>
      <c r="G54" s="121">
        <f>F54</f>
        <v>18710</v>
      </c>
      <c r="H54" s="121">
        <f>G54</f>
        <v>18710</v>
      </c>
      <c r="I54" s="139"/>
      <c r="J54" s="139"/>
      <c r="K54" s="139"/>
      <c r="L54" s="139"/>
      <c r="M54" s="113"/>
      <c r="IK54" s="2"/>
      <c r="IL54" s="2"/>
      <c r="IM54"/>
      <c r="IN54"/>
      <c r="IO54"/>
      <c r="IP54"/>
      <c r="IQ54"/>
      <c r="IR54"/>
      <c r="IS54"/>
      <c r="IT54"/>
      <c r="IU54"/>
      <c r="IV54"/>
    </row>
    <row r="55" spans="1:256" s="117" customFormat="1" ht="12.75" customHeight="1">
      <c r="A55" s="125"/>
      <c r="B55" s="141"/>
      <c r="C55" s="7">
        <v>4040</v>
      </c>
      <c r="D55" s="129" t="s">
        <v>192</v>
      </c>
      <c r="E55" s="133">
        <v>2000</v>
      </c>
      <c r="F55" s="133">
        <v>2000</v>
      </c>
      <c r="G55" s="121">
        <f>F55</f>
        <v>2000</v>
      </c>
      <c r="H55" s="121">
        <f>G55</f>
        <v>2000</v>
      </c>
      <c r="I55" s="131"/>
      <c r="J55" s="131"/>
      <c r="K55" s="131"/>
      <c r="L55" s="131"/>
      <c r="M55" s="116"/>
      <c r="IK55" s="2"/>
      <c r="IL55" s="2"/>
      <c r="IM55"/>
      <c r="IN55"/>
      <c r="IO55"/>
      <c r="IP55"/>
      <c r="IQ55"/>
      <c r="IR55"/>
      <c r="IS55"/>
      <c r="IT55"/>
      <c r="IU55"/>
      <c r="IV55"/>
    </row>
    <row r="56" spans="1:13" ht="12.75" customHeight="1">
      <c r="A56" s="125"/>
      <c r="B56" s="141"/>
      <c r="C56" s="7">
        <v>4110</v>
      </c>
      <c r="D56" s="129" t="s">
        <v>186</v>
      </c>
      <c r="E56" s="133">
        <v>3800</v>
      </c>
      <c r="F56" s="133">
        <v>3224</v>
      </c>
      <c r="G56" s="121">
        <f>F56</f>
        <v>3224</v>
      </c>
      <c r="H56" s="121">
        <f>G56</f>
        <v>3224</v>
      </c>
      <c r="I56" s="121"/>
      <c r="J56" s="121"/>
      <c r="K56" s="121"/>
      <c r="L56" s="121"/>
      <c r="M56" s="101"/>
    </row>
    <row r="57" spans="1:13" ht="12.75" customHeight="1">
      <c r="A57" s="125"/>
      <c r="B57" s="141"/>
      <c r="C57" s="7">
        <v>4120</v>
      </c>
      <c r="D57" s="129" t="s">
        <v>187</v>
      </c>
      <c r="E57" s="133">
        <v>520</v>
      </c>
      <c r="F57" s="133">
        <v>458</v>
      </c>
      <c r="G57" s="121">
        <f>F57</f>
        <v>458</v>
      </c>
      <c r="H57" s="121">
        <f>G57</f>
        <v>458</v>
      </c>
      <c r="I57" s="121"/>
      <c r="J57" s="121"/>
      <c r="K57" s="121"/>
      <c r="L57" s="121"/>
      <c r="M57" s="101"/>
    </row>
    <row r="58" spans="1:13" ht="12.75" customHeight="1">
      <c r="A58" s="125"/>
      <c r="B58" s="141"/>
      <c r="C58" s="78">
        <v>4170</v>
      </c>
      <c r="D58" s="66" t="s">
        <v>169</v>
      </c>
      <c r="E58" s="133">
        <v>1115</v>
      </c>
      <c r="F58" s="133"/>
      <c r="G58" s="121">
        <f>F58</f>
        <v>0</v>
      </c>
      <c r="H58" s="121"/>
      <c r="I58" s="121"/>
      <c r="J58" s="121"/>
      <c r="K58" s="121"/>
      <c r="L58" s="121"/>
      <c r="M58" s="101"/>
    </row>
    <row r="59" spans="1:13" ht="12.75" customHeight="1">
      <c r="A59" s="125"/>
      <c r="B59" s="142"/>
      <c r="C59" s="7">
        <v>4440</v>
      </c>
      <c r="D59" s="129" t="s">
        <v>189</v>
      </c>
      <c r="E59" s="133">
        <v>800</v>
      </c>
      <c r="F59" s="133">
        <v>800</v>
      </c>
      <c r="G59" s="121">
        <f>F59</f>
        <v>800</v>
      </c>
      <c r="H59" s="121"/>
      <c r="I59" s="121"/>
      <c r="J59" s="121"/>
      <c r="K59" s="121"/>
      <c r="L59" s="121"/>
      <c r="M59" s="101"/>
    </row>
    <row r="60" spans="1:13" ht="12.75" customHeight="1">
      <c r="A60" s="125"/>
      <c r="B60" s="55">
        <v>75022</v>
      </c>
      <c r="C60" s="56" t="s">
        <v>193</v>
      </c>
      <c r="D60" s="56"/>
      <c r="E60" s="17">
        <f>SUM(E61:E64)</f>
        <v>40000</v>
      </c>
      <c r="F60" s="17">
        <f>SUM(F61:F64)</f>
        <v>40000</v>
      </c>
      <c r="G60" s="123">
        <f>SUM(G61:G64)</f>
        <v>40000</v>
      </c>
      <c r="H60" s="123">
        <f>SUM(H61:H64)</f>
        <v>0</v>
      </c>
      <c r="I60" s="123">
        <f>SUM(I61:I64)</f>
        <v>0</v>
      </c>
      <c r="J60" s="123">
        <f>SUM(J61:J64)</f>
        <v>0</v>
      </c>
      <c r="K60" s="123">
        <f>SUM(K61:K64)</f>
        <v>0</v>
      </c>
      <c r="L60" s="123">
        <f>SUM(L61:L64)</f>
        <v>0</v>
      </c>
      <c r="M60" s="101"/>
    </row>
    <row r="61" spans="1:13" ht="12.75" customHeight="1">
      <c r="A61" s="125"/>
      <c r="B61" s="125"/>
      <c r="C61" s="124">
        <v>3030</v>
      </c>
      <c r="D61" s="129" t="s">
        <v>194</v>
      </c>
      <c r="E61" s="58">
        <v>30000</v>
      </c>
      <c r="F61" s="58">
        <v>30000</v>
      </c>
      <c r="G61" s="121">
        <f>F61</f>
        <v>30000</v>
      </c>
      <c r="H61" s="121"/>
      <c r="I61" s="121"/>
      <c r="J61" s="121"/>
      <c r="K61" s="121"/>
      <c r="L61" s="121"/>
      <c r="M61" s="101"/>
    </row>
    <row r="62" spans="1:256" s="117" customFormat="1" ht="12.75" customHeight="1">
      <c r="A62" s="125"/>
      <c r="B62" s="125"/>
      <c r="C62" s="124">
        <v>4210</v>
      </c>
      <c r="D62" s="129" t="s">
        <v>170</v>
      </c>
      <c r="E62" s="58">
        <v>4000</v>
      </c>
      <c r="F62" s="58">
        <v>4000</v>
      </c>
      <c r="G62" s="121">
        <f>F62</f>
        <v>4000</v>
      </c>
      <c r="H62" s="121"/>
      <c r="I62" s="131"/>
      <c r="J62" s="131"/>
      <c r="K62" s="131"/>
      <c r="L62" s="131"/>
      <c r="M62" s="116"/>
      <c r="IK62" s="2"/>
      <c r="IL62" s="2"/>
      <c r="IM62"/>
      <c r="IN62"/>
      <c r="IO62"/>
      <c r="IP62"/>
      <c r="IQ62"/>
      <c r="IR62"/>
      <c r="IS62"/>
      <c r="IT62"/>
      <c r="IU62"/>
      <c r="IV62"/>
    </row>
    <row r="63" spans="1:13" ht="12.75" customHeight="1">
      <c r="A63" s="125"/>
      <c r="B63" s="125"/>
      <c r="C63" s="124">
        <v>4300</v>
      </c>
      <c r="D63" s="129" t="s">
        <v>190</v>
      </c>
      <c r="E63" s="58">
        <v>5000</v>
      </c>
      <c r="F63" s="58">
        <v>5000</v>
      </c>
      <c r="G63" s="121">
        <f>F63</f>
        <v>5000</v>
      </c>
      <c r="H63" s="121"/>
      <c r="I63" s="121"/>
      <c r="J63" s="121"/>
      <c r="K63" s="121"/>
      <c r="L63" s="121"/>
      <c r="M63" s="101"/>
    </row>
    <row r="64" spans="1:13" ht="12.75" customHeight="1">
      <c r="A64" s="125"/>
      <c r="B64" s="60"/>
      <c r="C64" s="124">
        <v>4410</v>
      </c>
      <c r="D64" s="129" t="s">
        <v>195</v>
      </c>
      <c r="E64" s="58">
        <v>1000</v>
      </c>
      <c r="F64" s="58">
        <v>1000</v>
      </c>
      <c r="G64" s="121">
        <f>F64</f>
        <v>1000</v>
      </c>
      <c r="H64" s="121"/>
      <c r="I64" s="121"/>
      <c r="J64" s="121"/>
      <c r="K64" s="121"/>
      <c r="L64" s="121"/>
      <c r="M64" s="101"/>
    </row>
    <row r="65" spans="1:13" ht="12.75" customHeight="1">
      <c r="A65" s="125"/>
      <c r="B65" s="55">
        <v>75023</v>
      </c>
      <c r="C65" s="56" t="s">
        <v>196</v>
      </c>
      <c r="D65" s="56"/>
      <c r="E65" s="17">
        <f>SUM(E66:E85)</f>
        <v>976260</v>
      </c>
      <c r="F65" s="17">
        <f>SUM(F66:F85)</f>
        <v>998614</v>
      </c>
      <c r="G65" s="17">
        <f>SUM(G66:G85)</f>
        <v>993614</v>
      </c>
      <c r="H65" s="17">
        <f>SUM(H66:H85)</f>
        <v>802500</v>
      </c>
      <c r="I65" s="17">
        <f>SUM(I66:I85)</f>
        <v>0</v>
      </c>
      <c r="J65" s="17">
        <f>SUM(J66:J85)</f>
        <v>0</v>
      </c>
      <c r="K65" s="17">
        <f>SUM(K66:K85)</f>
        <v>0</v>
      </c>
      <c r="L65" s="17">
        <f>SUM(L66:L85)</f>
        <v>5000</v>
      </c>
      <c r="M65" s="101"/>
    </row>
    <row r="66" spans="1:13" ht="12.75" customHeight="1">
      <c r="A66" s="125"/>
      <c r="B66" s="125"/>
      <c r="C66" s="7">
        <v>3020</v>
      </c>
      <c r="D66" s="129" t="s">
        <v>197</v>
      </c>
      <c r="E66" s="58">
        <v>3000</v>
      </c>
      <c r="F66" s="58">
        <v>3000</v>
      </c>
      <c r="G66" s="121">
        <f>F66</f>
        <v>3000</v>
      </c>
      <c r="H66" s="121"/>
      <c r="I66" s="121"/>
      <c r="J66" s="121"/>
      <c r="K66" s="121"/>
      <c r="L66" s="121"/>
      <c r="M66" s="101"/>
    </row>
    <row r="67" spans="1:13" ht="12.75" customHeight="1">
      <c r="A67" s="125"/>
      <c r="B67" s="125"/>
      <c r="C67" s="78">
        <v>3040</v>
      </c>
      <c r="D67" s="143" t="s">
        <v>198</v>
      </c>
      <c r="E67" s="58">
        <v>12600</v>
      </c>
      <c r="F67" s="58">
        <v>13000</v>
      </c>
      <c r="G67" s="121">
        <f>F67</f>
        <v>13000</v>
      </c>
      <c r="H67" s="121"/>
      <c r="I67" s="121"/>
      <c r="J67" s="121"/>
      <c r="K67" s="121"/>
      <c r="L67" s="121"/>
      <c r="M67" s="101"/>
    </row>
    <row r="68" spans="1:13" ht="12.75" customHeight="1">
      <c r="A68" s="125"/>
      <c r="B68" s="132"/>
      <c r="C68" s="124">
        <v>4010</v>
      </c>
      <c r="D68" s="129" t="s">
        <v>184</v>
      </c>
      <c r="E68" s="58">
        <v>600600</v>
      </c>
      <c r="F68" s="58">
        <v>630000</v>
      </c>
      <c r="G68" s="121">
        <f>F68</f>
        <v>630000</v>
      </c>
      <c r="H68" s="121">
        <f>G68</f>
        <v>630000</v>
      </c>
      <c r="I68" s="121"/>
      <c r="J68" s="121"/>
      <c r="K68" s="121"/>
      <c r="L68" s="121"/>
      <c r="M68" s="101"/>
    </row>
    <row r="69" spans="1:13" ht="12.75" customHeight="1">
      <c r="A69" s="125"/>
      <c r="B69" s="132"/>
      <c r="C69" s="124">
        <v>4040</v>
      </c>
      <c r="D69" s="129" t="s">
        <v>192</v>
      </c>
      <c r="E69" s="58">
        <v>41000</v>
      </c>
      <c r="F69" s="58">
        <v>44500</v>
      </c>
      <c r="G69" s="121">
        <f>F69</f>
        <v>44500</v>
      </c>
      <c r="H69" s="121">
        <f>G69</f>
        <v>44500</v>
      </c>
      <c r="I69" s="121"/>
      <c r="J69" s="121"/>
      <c r="K69" s="121"/>
      <c r="L69" s="121"/>
      <c r="M69" s="101"/>
    </row>
    <row r="70" spans="1:13" ht="12.75" customHeight="1">
      <c r="A70" s="125"/>
      <c r="B70" s="132"/>
      <c r="C70" s="124">
        <v>4110</v>
      </c>
      <c r="D70" s="129" t="s">
        <v>186</v>
      </c>
      <c r="E70" s="58">
        <v>106000</v>
      </c>
      <c r="F70" s="58">
        <f>94500+2600</f>
        <v>97100</v>
      </c>
      <c r="G70" s="121">
        <f>F70</f>
        <v>97100</v>
      </c>
      <c r="H70" s="121">
        <f>G70</f>
        <v>97100</v>
      </c>
      <c r="I70" s="121"/>
      <c r="J70" s="121"/>
      <c r="K70" s="121"/>
      <c r="L70" s="121"/>
      <c r="M70" s="101"/>
    </row>
    <row r="71" spans="1:13" ht="12.75" customHeight="1">
      <c r="A71" s="125"/>
      <c r="B71" s="132"/>
      <c r="C71" s="124">
        <v>4120</v>
      </c>
      <c r="D71" s="129" t="s">
        <v>187</v>
      </c>
      <c r="E71" s="58">
        <v>15000</v>
      </c>
      <c r="F71" s="58">
        <f>15400+500</f>
        <v>15900</v>
      </c>
      <c r="G71" s="121">
        <f>F71</f>
        <v>15900</v>
      </c>
      <c r="H71" s="121">
        <f>G71</f>
        <v>15900</v>
      </c>
      <c r="I71" s="121"/>
      <c r="J71" s="121"/>
      <c r="K71" s="121"/>
      <c r="L71" s="121"/>
      <c r="M71" s="101"/>
    </row>
    <row r="72" spans="1:13" ht="12.75" customHeight="1">
      <c r="A72" s="125"/>
      <c r="B72" s="132"/>
      <c r="C72" s="78">
        <v>4170</v>
      </c>
      <c r="D72" s="66" t="s">
        <v>169</v>
      </c>
      <c r="E72" s="58">
        <v>13000</v>
      </c>
      <c r="F72" s="58">
        <v>15000</v>
      </c>
      <c r="G72" s="121">
        <f>F72</f>
        <v>15000</v>
      </c>
      <c r="H72" s="121">
        <f>G72</f>
        <v>15000</v>
      </c>
      <c r="I72" s="121"/>
      <c r="J72" s="121"/>
      <c r="K72" s="121"/>
      <c r="L72" s="121"/>
      <c r="M72" s="101"/>
    </row>
    <row r="73" spans="1:13" ht="12.75" customHeight="1">
      <c r="A73" s="125"/>
      <c r="B73" s="132"/>
      <c r="C73" s="124">
        <v>4210</v>
      </c>
      <c r="D73" s="129" t="s">
        <v>170</v>
      </c>
      <c r="E73" s="58">
        <v>50000</v>
      </c>
      <c r="F73" s="58">
        <v>50000</v>
      </c>
      <c r="G73" s="121">
        <f>F73</f>
        <v>50000</v>
      </c>
      <c r="H73" s="121"/>
      <c r="I73" s="121"/>
      <c r="J73" s="121"/>
      <c r="K73" s="121"/>
      <c r="L73" s="121"/>
      <c r="M73" s="101"/>
    </row>
    <row r="74" spans="1:13" ht="12.75" customHeight="1">
      <c r="A74" s="125"/>
      <c r="B74" s="132"/>
      <c r="C74" s="124">
        <v>4260</v>
      </c>
      <c r="D74" s="129" t="s">
        <v>199</v>
      </c>
      <c r="E74" s="58">
        <v>5000</v>
      </c>
      <c r="F74" s="58">
        <v>6000</v>
      </c>
      <c r="G74" s="121">
        <f>F74</f>
        <v>6000</v>
      </c>
      <c r="H74" s="121"/>
      <c r="I74" s="121"/>
      <c r="J74" s="121"/>
      <c r="K74" s="121"/>
      <c r="L74" s="121"/>
      <c r="M74" s="101"/>
    </row>
    <row r="75" spans="1:13" ht="12.75" customHeight="1">
      <c r="A75" s="125"/>
      <c r="B75" s="132"/>
      <c r="C75" s="124">
        <v>4300</v>
      </c>
      <c r="D75" s="129" t="s">
        <v>190</v>
      </c>
      <c r="E75" s="58">
        <v>50000</v>
      </c>
      <c r="F75" s="58">
        <v>50000</v>
      </c>
      <c r="G75" s="121">
        <f>F75</f>
        <v>50000</v>
      </c>
      <c r="H75" s="121"/>
      <c r="I75" s="121"/>
      <c r="J75" s="121"/>
      <c r="K75" s="121"/>
      <c r="L75" s="121"/>
      <c r="M75" s="101"/>
    </row>
    <row r="76" spans="1:13" ht="12.75" customHeight="1">
      <c r="A76" s="125"/>
      <c r="B76" s="132"/>
      <c r="C76" s="124">
        <v>4350</v>
      </c>
      <c r="D76" s="129" t="s">
        <v>200</v>
      </c>
      <c r="E76" s="58">
        <v>2500</v>
      </c>
      <c r="F76" s="58">
        <v>3000</v>
      </c>
      <c r="G76" s="121">
        <f>F76</f>
        <v>3000</v>
      </c>
      <c r="H76" s="121"/>
      <c r="I76" s="121"/>
      <c r="J76" s="121"/>
      <c r="K76" s="121"/>
      <c r="L76" s="121"/>
      <c r="M76" s="101"/>
    </row>
    <row r="77" spans="1:13" ht="12.75" customHeight="1">
      <c r="A77" s="125"/>
      <c r="B77" s="132"/>
      <c r="C77" s="124">
        <v>4360</v>
      </c>
      <c r="D77" s="129" t="s">
        <v>201</v>
      </c>
      <c r="E77" s="58">
        <v>2500</v>
      </c>
      <c r="F77" s="58">
        <v>3000</v>
      </c>
      <c r="G77" s="121">
        <f>F77</f>
        <v>3000</v>
      </c>
      <c r="H77" s="121"/>
      <c r="I77" s="121"/>
      <c r="J77" s="121"/>
      <c r="K77" s="121"/>
      <c r="L77" s="121"/>
      <c r="M77" s="101"/>
    </row>
    <row r="78" spans="1:13" ht="12.75" customHeight="1">
      <c r="A78" s="125"/>
      <c r="B78" s="132"/>
      <c r="C78" s="124">
        <v>4370</v>
      </c>
      <c r="D78" s="129" t="s">
        <v>202</v>
      </c>
      <c r="E78" s="58">
        <v>8000</v>
      </c>
      <c r="F78" s="58">
        <v>9000</v>
      </c>
      <c r="G78" s="121">
        <f>F78</f>
        <v>9000</v>
      </c>
      <c r="H78" s="121"/>
      <c r="I78" s="121"/>
      <c r="J78" s="121"/>
      <c r="K78" s="121"/>
      <c r="L78" s="121"/>
      <c r="M78" s="101"/>
    </row>
    <row r="79" spans="1:13" ht="12.75" customHeight="1">
      <c r="A79" s="125"/>
      <c r="B79" s="132"/>
      <c r="C79" s="124">
        <v>4410</v>
      </c>
      <c r="D79" s="129" t="s">
        <v>195</v>
      </c>
      <c r="E79" s="58">
        <v>15000</v>
      </c>
      <c r="F79" s="58">
        <v>15000</v>
      </c>
      <c r="G79" s="121">
        <f>F79</f>
        <v>15000</v>
      </c>
      <c r="H79" s="121"/>
      <c r="I79" s="121"/>
      <c r="J79" s="121"/>
      <c r="K79" s="121"/>
      <c r="L79" s="121"/>
      <c r="M79" s="101"/>
    </row>
    <row r="80" spans="1:13" ht="12.75" customHeight="1">
      <c r="A80" s="125"/>
      <c r="B80" s="132"/>
      <c r="C80" s="124">
        <v>4430</v>
      </c>
      <c r="D80" s="129" t="s">
        <v>171</v>
      </c>
      <c r="E80" s="58">
        <v>2500</v>
      </c>
      <c r="F80" s="58">
        <v>2500</v>
      </c>
      <c r="G80" s="121">
        <f>F80</f>
        <v>2500</v>
      </c>
      <c r="H80" s="121"/>
      <c r="I80" s="121"/>
      <c r="J80" s="121"/>
      <c r="K80" s="121"/>
      <c r="L80" s="121"/>
      <c r="M80" s="101"/>
    </row>
    <row r="81" spans="1:13" ht="12.75" customHeight="1">
      <c r="A81" s="125"/>
      <c r="B81" s="132"/>
      <c r="C81" s="124">
        <v>4440</v>
      </c>
      <c r="D81" s="129" t="s">
        <v>189</v>
      </c>
      <c r="E81" s="58">
        <v>14560</v>
      </c>
      <c r="F81" s="58">
        <f>10580+5290+248+496</f>
        <v>16614</v>
      </c>
      <c r="G81" s="121">
        <f>F81</f>
        <v>16614</v>
      </c>
      <c r="H81" s="121"/>
      <c r="I81" s="121"/>
      <c r="J81" s="121"/>
      <c r="K81" s="121"/>
      <c r="L81" s="121"/>
      <c r="M81" s="101"/>
    </row>
    <row r="82" spans="1:13" ht="12.75" customHeight="1">
      <c r="A82" s="125"/>
      <c r="B82" s="132"/>
      <c r="C82" s="124">
        <v>4700</v>
      </c>
      <c r="D82" s="129" t="s">
        <v>203</v>
      </c>
      <c r="E82" s="58">
        <v>6000</v>
      </c>
      <c r="F82" s="58">
        <v>10000</v>
      </c>
      <c r="G82" s="121">
        <f>F82</f>
        <v>10000</v>
      </c>
      <c r="H82" s="121"/>
      <c r="I82" s="121"/>
      <c r="J82" s="121"/>
      <c r="K82" s="121"/>
      <c r="L82" s="121"/>
      <c r="M82" s="101"/>
    </row>
    <row r="83" spans="1:13" ht="24.75">
      <c r="A83" s="125"/>
      <c r="B83" s="132"/>
      <c r="C83" s="124">
        <v>4740</v>
      </c>
      <c r="D83" s="20" t="s">
        <v>204</v>
      </c>
      <c r="E83" s="58">
        <v>5000</v>
      </c>
      <c r="F83" s="58">
        <v>5000</v>
      </c>
      <c r="G83" s="121">
        <f>F83</f>
        <v>5000</v>
      </c>
      <c r="H83" s="121"/>
      <c r="I83" s="121"/>
      <c r="J83" s="121"/>
      <c r="K83" s="121"/>
      <c r="L83" s="121"/>
      <c r="M83" s="101"/>
    </row>
    <row r="84" spans="1:13" ht="12.75">
      <c r="A84" s="125"/>
      <c r="B84" s="132"/>
      <c r="C84" s="124">
        <v>4750</v>
      </c>
      <c r="D84" s="20" t="s">
        <v>205</v>
      </c>
      <c r="E84" s="58">
        <v>14000</v>
      </c>
      <c r="F84" s="58">
        <v>5000</v>
      </c>
      <c r="G84" s="121">
        <v>5000</v>
      </c>
      <c r="H84" s="121"/>
      <c r="I84" s="121"/>
      <c r="J84" s="121"/>
      <c r="K84" s="121"/>
      <c r="L84" s="121"/>
      <c r="M84" s="101"/>
    </row>
    <row r="85" spans="1:13" ht="12.75" customHeight="1">
      <c r="A85" s="125"/>
      <c r="B85" s="132"/>
      <c r="C85" s="126">
        <v>6050</v>
      </c>
      <c r="D85" s="119" t="s">
        <v>165</v>
      </c>
      <c r="E85" s="144">
        <v>10000</v>
      </c>
      <c r="F85" s="144">
        <f>3a!H19</f>
        <v>5000</v>
      </c>
      <c r="G85" s="121"/>
      <c r="H85" s="121"/>
      <c r="I85" s="121"/>
      <c r="J85" s="121"/>
      <c r="K85" s="121"/>
      <c r="L85" s="121">
        <f>F85</f>
        <v>5000</v>
      </c>
      <c r="M85" s="101"/>
    </row>
    <row r="86" spans="1:13" ht="30.75" customHeight="1">
      <c r="A86" s="79">
        <v>751</v>
      </c>
      <c r="B86" s="145" t="s">
        <v>206</v>
      </c>
      <c r="C86" s="145"/>
      <c r="D86" s="145"/>
      <c r="E86" s="112">
        <f>SUM(E87,E90)</f>
        <v>9176</v>
      </c>
      <c r="F86" s="112">
        <f>SUM(F87,F90)</f>
        <v>800</v>
      </c>
      <c r="G86" s="131">
        <f>SUM(G87)</f>
        <v>800</v>
      </c>
      <c r="H86" s="131">
        <f>SUM(H87)</f>
        <v>0</v>
      </c>
      <c r="I86" s="131">
        <f>SUM(I87)</f>
        <v>0</v>
      </c>
      <c r="J86" s="131">
        <f>SUM(J87)</f>
        <v>0</v>
      </c>
      <c r="K86" s="131">
        <f>SUM(K87)</f>
        <v>0</v>
      </c>
      <c r="L86" s="131">
        <f>SUM(L87)</f>
        <v>0</v>
      </c>
      <c r="M86" s="101"/>
    </row>
    <row r="87" spans="1:13" ht="12.75">
      <c r="A87" s="125"/>
      <c r="B87" s="55">
        <v>75101</v>
      </c>
      <c r="C87" s="16" t="s">
        <v>207</v>
      </c>
      <c r="D87" s="16"/>
      <c r="E87" s="17">
        <f>SUM(E88:E89)</f>
        <v>800</v>
      </c>
      <c r="F87" s="17">
        <f>SUM(F88:F89)</f>
        <v>800</v>
      </c>
      <c r="G87" s="17">
        <f>SUM(G88:G89)</f>
        <v>800</v>
      </c>
      <c r="H87" s="123">
        <f>SUM(H89:H89)</f>
        <v>0</v>
      </c>
      <c r="I87" s="123">
        <f>SUM(I89:I89)</f>
        <v>0</v>
      </c>
      <c r="J87" s="123">
        <f>SUM(J89:J89)</f>
        <v>0</v>
      </c>
      <c r="K87" s="123">
        <f>SUM(K89:K89)</f>
        <v>0</v>
      </c>
      <c r="L87" s="123">
        <f>SUM(L89:L89)</f>
        <v>0</v>
      </c>
      <c r="M87" s="101"/>
    </row>
    <row r="88" spans="1:13" ht="12.75">
      <c r="A88" s="125"/>
      <c r="B88" s="125"/>
      <c r="C88" s="78">
        <v>4170</v>
      </c>
      <c r="D88" s="66" t="s">
        <v>169</v>
      </c>
      <c r="E88" s="133">
        <v>500</v>
      </c>
      <c r="F88" s="133">
        <v>400</v>
      </c>
      <c r="G88" s="121">
        <f>F88</f>
        <v>400</v>
      </c>
      <c r="H88" s="121">
        <f>G88</f>
        <v>400</v>
      </c>
      <c r="I88" s="121"/>
      <c r="J88" s="121"/>
      <c r="K88" s="121"/>
      <c r="L88" s="121"/>
      <c r="M88" s="101"/>
    </row>
    <row r="89" spans="1:256" s="117" customFormat="1" ht="12.75" customHeight="1">
      <c r="A89" s="125"/>
      <c r="B89" s="60"/>
      <c r="C89" s="124">
        <v>4210</v>
      </c>
      <c r="D89" s="129" t="s">
        <v>170</v>
      </c>
      <c r="E89" s="133">
        <v>300</v>
      </c>
      <c r="F89" s="133">
        <v>400</v>
      </c>
      <c r="G89" s="121">
        <f>F89</f>
        <v>400</v>
      </c>
      <c r="H89" s="121"/>
      <c r="I89" s="131"/>
      <c r="J89" s="131"/>
      <c r="K89" s="131"/>
      <c r="L89" s="131"/>
      <c r="M89" s="116"/>
      <c r="IK89" s="2"/>
      <c r="IL89" s="2"/>
      <c r="IM89"/>
      <c r="IN89"/>
      <c r="IO89"/>
      <c r="IP89"/>
      <c r="IQ89"/>
      <c r="IR89"/>
      <c r="IS89"/>
      <c r="IT89"/>
      <c r="IU89"/>
      <c r="IV89"/>
    </row>
    <row r="90" spans="1:256" s="117" customFormat="1" ht="12.75" customHeight="1">
      <c r="A90" s="125"/>
      <c r="B90" s="32" t="s">
        <v>58</v>
      </c>
      <c r="C90" s="41" t="s">
        <v>59</v>
      </c>
      <c r="D90" s="41"/>
      <c r="E90" s="17">
        <f>SUM(E91:E94)</f>
        <v>8376</v>
      </c>
      <c r="F90" s="17">
        <f>SUM(F91:F94)</f>
        <v>0</v>
      </c>
      <c r="G90" s="17">
        <f>SUM(G91:G94)</f>
        <v>0</v>
      </c>
      <c r="H90" s="17">
        <f>SUM(H91:H94)</f>
        <v>0</v>
      </c>
      <c r="I90" s="17">
        <f>SUM(I91:I94)</f>
        <v>0</v>
      </c>
      <c r="J90" s="17">
        <f>SUM(J91:J94)</f>
        <v>0</v>
      </c>
      <c r="K90" s="17">
        <f>SUM(K91:K94)</f>
        <v>0</v>
      </c>
      <c r="L90" s="17">
        <f>SUM(L91:L94)</f>
        <v>0</v>
      </c>
      <c r="M90" s="116"/>
      <c r="IK90" s="2"/>
      <c r="IL90" s="2"/>
      <c r="IM90"/>
      <c r="IN90"/>
      <c r="IO90"/>
      <c r="IP90"/>
      <c r="IQ90"/>
      <c r="IR90"/>
      <c r="IS90"/>
      <c r="IT90"/>
      <c r="IU90"/>
      <c r="IV90"/>
    </row>
    <row r="91" spans="1:256" s="117" customFormat="1" ht="12.75" customHeight="1">
      <c r="A91" s="125"/>
      <c r="B91" s="42"/>
      <c r="C91" s="124">
        <v>3030</v>
      </c>
      <c r="D91" s="129" t="s">
        <v>194</v>
      </c>
      <c r="E91" s="133">
        <v>3960</v>
      </c>
      <c r="F91" s="133"/>
      <c r="G91" s="121"/>
      <c r="H91" s="121"/>
      <c r="I91" s="131"/>
      <c r="J91" s="131"/>
      <c r="K91" s="131"/>
      <c r="L91" s="131"/>
      <c r="M91" s="116"/>
      <c r="IK91" s="2"/>
      <c r="IL91" s="2"/>
      <c r="IM91"/>
      <c r="IN91"/>
      <c r="IO91"/>
      <c r="IP91"/>
      <c r="IQ91"/>
      <c r="IR91"/>
      <c r="IS91"/>
      <c r="IT91"/>
      <c r="IU91"/>
      <c r="IV91"/>
    </row>
    <row r="92" spans="1:256" s="117" customFormat="1" ht="12.75" customHeight="1">
      <c r="A92" s="125"/>
      <c r="B92" s="42"/>
      <c r="C92" s="78">
        <v>4170</v>
      </c>
      <c r="D92" s="66" t="s">
        <v>169</v>
      </c>
      <c r="E92" s="133">
        <v>1430</v>
      </c>
      <c r="F92" s="58"/>
      <c r="G92" s="121"/>
      <c r="H92" s="121"/>
      <c r="I92" s="131"/>
      <c r="J92" s="131"/>
      <c r="K92" s="131"/>
      <c r="L92" s="131"/>
      <c r="M92" s="116"/>
      <c r="IK92" s="2"/>
      <c r="IL92" s="2"/>
      <c r="IM92"/>
      <c r="IN92"/>
      <c r="IO92"/>
      <c r="IP92"/>
      <c r="IQ92"/>
      <c r="IR92"/>
      <c r="IS92"/>
      <c r="IT92"/>
      <c r="IU92"/>
      <c r="IV92"/>
    </row>
    <row r="93" spans="1:256" s="117" customFormat="1" ht="12.75" customHeight="1">
      <c r="A93" s="125"/>
      <c r="B93" s="125"/>
      <c r="C93" s="124">
        <v>4210</v>
      </c>
      <c r="D93" s="129" t="s">
        <v>170</v>
      </c>
      <c r="E93" s="133">
        <v>2881</v>
      </c>
      <c r="F93" s="133"/>
      <c r="G93" s="121"/>
      <c r="H93" s="121"/>
      <c r="I93" s="131"/>
      <c r="J93" s="131"/>
      <c r="K93" s="131"/>
      <c r="L93" s="131"/>
      <c r="M93" s="116"/>
      <c r="IK93" s="2"/>
      <c r="IL93" s="2"/>
      <c r="IM93"/>
      <c r="IN93"/>
      <c r="IO93"/>
      <c r="IP93"/>
      <c r="IQ93"/>
      <c r="IR93"/>
      <c r="IS93"/>
      <c r="IT93"/>
      <c r="IU93"/>
      <c r="IV93"/>
    </row>
    <row r="94" spans="1:256" s="117" customFormat="1" ht="12.75" customHeight="1">
      <c r="A94" s="60"/>
      <c r="B94" s="60"/>
      <c r="C94" s="7">
        <v>4410</v>
      </c>
      <c r="D94" s="146" t="s">
        <v>195</v>
      </c>
      <c r="E94" s="133">
        <v>105</v>
      </c>
      <c r="F94" s="133"/>
      <c r="G94" s="121"/>
      <c r="H94" s="121"/>
      <c r="I94" s="131"/>
      <c r="J94" s="131"/>
      <c r="K94" s="131"/>
      <c r="L94" s="131"/>
      <c r="M94" s="116"/>
      <c r="IK94" s="2"/>
      <c r="IL94" s="2"/>
      <c r="IM94"/>
      <c r="IN94"/>
      <c r="IO94"/>
      <c r="IP94"/>
      <c r="IQ94"/>
      <c r="IR94"/>
      <c r="IS94"/>
      <c r="IT94"/>
      <c r="IU94"/>
      <c r="IV94"/>
    </row>
    <row r="95" spans="1:256" s="114" customFormat="1" ht="15">
      <c r="A95" s="79">
        <v>754</v>
      </c>
      <c r="B95" s="145" t="s">
        <v>60</v>
      </c>
      <c r="C95" s="145"/>
      <c r="D95" s="145"/>
      <c r="E95" s="112">
        <f>SUM(E96,E103,E107,E105)</f>
        <v>101435</v>
      </c>
      <c r="F95" s="112">
        <f>SUM(F96,F103,F107,F105)</f>
        <v>38400</v>
      </c>
      <c r="G95" s="112">
        <f>SUM(G96,G103,G107,G105)</f>
        <v>38400</v>
      </c>
      <c r="H95" s="112">
        <f>SUM(H96,H103,H107,H105)</f>
        <v>0</v>
      </c>
      <c r="I95" s="112">
        <f>SUM(I96,I103,I107,I105)</f>
        <v>0</v>
      </c>
      <c r="J95" s="112">
        <f>SUM(J96,J103,J107,J105)</f>
        <v>0</v>
      </c>
      <c r="K95" s="112">
        <f>SUM(K96,K103,K107,K105)</f>
        <v>0</v>
      </c>
      <c r="L95" s="112">
        <f>SUM(L96,L103,L107,L105)</f>
        <v>0</v>
      </c>
      <c r="M95" s="113"/>
      <c r="IK95" s="2"/>
      <c r="IL95" s="2"/>
      <c r="IM95"/>
      <c r="IN95"/>
      <c r="IO95"/>
      <c r="IP95"/>
      <c r="IQ95"/>
      <c r="IR95"/>
      <c r="IS95"/>
      <c r="IT95"/>
      <c r="IU95"/>
      <c r="IV95"/>
    </row>
    <row r="96" spans="1:256" s="117" customFormat="1" ht="12.75" customHeight="1">
      <c r="A96" s="54"/>
      <c r="B96" s="55">
        <v>75412</v>
      </c>
      <c r="C96" s="56" t="s">
        <v>61</v>
      </c>
      <c r="D96" s="56"/>
      <c r="E96" s="17">
        <f>SUM(E97:E102)</f>
        <v>76535</v>
      </c>
      <c r="F96" s="17">
        <f>SUM(F97:F102)</f>
        <v>26000</v>
      </c>
      <c r="G96" s="123">
        <f>SUM(G97:G102)</f>
        <v>26000</v>
      </c>
      <c r="H96" s="123">
        <f>SUM(H97:H102)</f>
        <v>0</v>
      </c>
      <c r="I96" s="123">
        <f>SUM(I97:I102)</f>
        <v>0</v>
      </c>
      <c r="J96" s="123">
        <f>SUM(J97:J102)</f>
        <v>0</v>
      </c>
      <c r="K96" s="123">
        <f>SUM(K97:K102)</f>
        <v>0</v>
      </c>
      <c r="L96" s="123">
        <f>SUM(L97:L102)</f>
        <v>0</v>
      </c>
      <c r="M96" s="116"/>
      <c r="IK96" s="2"/>
      <c r="IL96" s="2"/>
      <c r="IM96"/>
      <c r="IN96"/>
      <c r="IO96"/>
      <c r="IP96"/>
      <c r="IQ96"/>
      <c r="IR96"/>
      <c r="IS96"/>
      <c r="IT96"/>
      <c r="IU96"/>
      <c r="IV96"/>
    </row>
    <row r="97" spans="1:256" s="117" customFormat="1" ht="12.75" customHeight="1">
      <c r="A97" s="54"/>
      <c r="B97" s="125"/>
      <c r="C97" s="147">
        <v>3030</v>
      </c>
      <c r="D97" s="148" t="s">
        <v>194</v>
      </c>
      <c r="E97" s="58">
        <v>3000</v>
      </c>
      <c r="F97" s="58">
        <v>3000</v>
      </c>
      <c r="G97" s="121">
        <f>F97</f>
        <v>3000</v>
      </c>
      <c r="H97" s="121"/>
      <c r="I97" s="131"/>
      <c r="J97" s="131"/>
      <c r="K97" s="131"/>
      <c r="L97" s="131"/>
      <c r="M97" s="116"/>
      <c r="IK97" s="2"/>
      <c r="IL97" s="2"/>
      <c r="IM97"/>
      <c r="IN97"/>
      <c r="IO97"/>
      <c r="IP97"/>
      <c r="IQ97"/>
      <c r="IR97"/>
      <c r="IS97"/>
      <c r="IT97"/>
      <c r="IU97"/>
      <c r="IV97"/>
    </row>
    <row r="98" spans="1:13" ht="12.75" customHeight="1">
      <c r="A98" s="54"/>
      <c r="B98" s="125"/>
      <c r="C98" s="124">
        <v>4210</v>
      </c>
      <c r="D98" s="129" t="s">
        <v>170</v>
      </c>
      <c r="E98" s="58">
        <v>12000</v>
      </c>
      <c r="F98" s="58">
        <v>10000</v>
      </c>
      <c r="G98" s="121">
        <f>F98</f>
        <v>10000</v>
      </c>
      <c r="H98" s="121"/>
      <c r="I98" s="121"/>
      <c r="J98" s="121"/>
      <c r="K98" s="121"/>
      <c r="L98" s="121"/>
      <c r="M98" s="101"/>
    </row>
    <row r="99" spans="1:13" ht="12.75" customHeight="1">
      <c r="A99" s="54"/>
      <c r="B99" s="125"/>
      <c r="C99" s="124">
        <v>4260</v>
      </c>
      <c r="D99" s="129" t="s">
        <v>199</v>
      </c>
      <c r="E99" s="58">
        <v>5000</v>
      </c>
      <c r="F99" s="58">
        <v>5000</v>
      </c>
      <c r="G99" s="121">
        <f>F99</f>
        <v>5000</v>
      </c>
      <c r="H99" s="121"/>
      <c r="I99" s="121"/>
      <c r="J99" s="121"/>
      <c r="K99" s="121"/>
      <c r="L99" s="121"/>
      <c r="M99" s="101"/>
    </row>
    <row r="100" spans="1:13" ht="12.75" customHeight="1">
      <c r="A100" s="54"/>
      <c r="B100" s="125"/>
      <c r="C100" s="124">
        <v>4300</v>
      </c>
      <c r="D100" s="129" t="s">
        <v>190</v>
      </c>
      <c r="E100" s="58">
        <v>5000</v>
      </c>
      <c r="F100" s="58">
        <v>5000</v>
      </c>
      <c r="G100" s="121">
        <f>F100</f>
        <v>5000</v>
      </c>
      <c r="H100" s="121"/>
      <c r="I100" s="121"/>
      <c r="J100" s="121"/>
      <c r="K100" s="121"/>
      <c r="L100" s="121"/>
      <c r="M100" s="101"/>
    </row>
    <row r="101" spans="1:13" ht="12.75" customHeight="1">
      <c r="A101" s="54"/>
      <c r="B101" s="125"/>
      <c r="C101" s="124">
        <v>4430</v>
      </c>
      <c r="D101" s="129" t="s">
        <v>171</v>
      </c>
      <c r="E101" s="58">
        <v>3000</v>
      </c>
      <c r="F101" s="58">
        <v>3000</v>
      </c>
      <c r="G101" s="121">
        <f>F101</f>
        <v>3000</v>
      </c>
      <c r="H101" s="121"/>
      <c r="I101" s="121"/>
      <c r="J101" s="121"/>
      <c r="K101" s="121"/>
      <c r="L101" s="121"/>
      <c r="M101" s="101"/>
    </row>
    <row r="102" spans="1:13" ht="12.75" customHeight="1">
      <c r="A102" s="54"/>
      <c r="B102" s="125"/>
      <c r="C102" s="126">
        <v>6050</v>
      </c>
      <c r="D102" s="119" t="s">
        <v>165</v>
      </c>
      <c r="E102" s="144">
        <v>48535</v>
      </c>
      <c r="F102" s="144"/>
      <c r="G102" s="121"/>
      <c r="H102" s="121"/>
      <c r="I102" s="121"/>
      <c r="J102" s="121"/>
      <c r="K102" s="121"/>
      <c r="L102" s="121"/>
      <c r="M102" s="101"/>
    </row>
    <row r="103" spans="1:13" ht="12.75" customHeight="1">
      <c r="A103" s="54"/>
      <c r="B103" s="55">
        <v>75414</v>
      </c>
      <c r="C103" s="56" t="s">
        <v>63</v>
      </c>
      <c r="D103" s="56"/>
      <c r="E103" s="17">
        <f>SUM(E104:E104)</f>
        <v>500</v>
      </c>
      <c r="F103" s="17">
        <f>SUM(F104:F104)</f>
        <v>1000</v>
      </c>
      <c r="G103" s="123">
        <f>SUM(G104:G104)</f>
        <v>1000</v>
      </c>
      <c r="H103" s="123">
        <f>SUM(H104:H104)</f>
        <v>0</v>
      </c>
      <c r="I103" s="123">
        <f>SUM(I104:I104)</f>
        <v>0</v>
      </c>
      <c r="J103" s="123">
        <f>SUM(J104:J104)</f>
        <v>0</v>
      </c>
      <c r="K103" s="123">
        <f>SUM(K104:K104)</f>
        <v>0</v>
      </c>
      <c r="L103" s="123">
        <f>SUM(L104:L104)</f>
        <v>0</v>
      </c>
      <c r="M103" s="101"/>
    </row>
    <row r="104" spans="1:256" s="114" customFormat="1" ht="12.75" customHeight="1">
      <c r="A104" s="54"/>
      <c r="B104" s="60"/>
      <c r="C104" s="7">
        <v>4210</v>
      </c>
      <c r="D104" s="129" t="s">
        <v>170</v>
      </c>
      <c r="E104" s="58">
        <v>500</v>
      </c>
      <c r="F104" s="58">
        <v>1000</v>
      </c>
      <c r="G104" s="121">
        <f>F104</f>
        <v>1000</v>
      </c>
      <c r="H104" s="121"/>
      <c r="I104" s="139"/>
      <c r="J104" s="139"/>
      <c r="K104" s="139"/>
      <c r="L104" s="139"/>
      <c r="M104" s="113"/>
      <c r="IK104" s="2"/>
      <c r="IL104" s="2"/>
      <c r="IM104"/>
      <c r="IN104"/>
      <c r="IO104"/>
      <c r="IP104"/>
      <c r="IQ104"/>
      <c r="IR104"/>
      <c r="IS104"/>
      <c r="IT104"/>
      <c r="IU104"/>
      <c r="IV104"/>
    </row>
    <row r="105" spans="1:256" s="114" customFormat="1" ht="12.75" customHeight="1">
      <c r="A105" s="54"/>
      <c r="B105" s="55">
        <v>75421</v>
      </c>
      <c r="C105" s="56" t="s">
        <v>208</v>
      </c>
      <c r="D105" s="56"/>
      <c r="E105" s="17">
        <f>SUM(E106:E106)</f>
        <v>0</v>
      </c>
      <c r="F105" s="17">
        <f>SUM(F106:F106)</f>
        <v>10000</v>
      </c>
      <c r="G105" s="123">
        <f>SUM(G106:G106)</f>
        <v>10000</v>
      </c>
      <c r="H105" s="123">
        <f>SUM(H106:H106)</f>
        <v>0</v>
      </c>
      <c r="I105" s="123">
        <f>SUM(I106:I106)</f>
        <v>0</v>
      </c>
      <c r="J105" s="123">
        <f>SUM(J106:J106)</f>
        <v>0</v>
      </c>
      <c r="K105" s="123">
        <f>SUM(K106:K106)</f>
        <v>0</v>
      </c>
      <c r="L105" s="123">
        <f>SUM(L106:L106)</f>
        <v>0</v>
      </c>
      <c r="M105" s="113"/>
      <c r="IK105" s="2"/>
      <c r="IL105" s="2"/>
      <c r="IM105"/>
      <c r="IN105"/>
      <c r="IO105"/>
      <c r="IP105"/>
      <c r="IQ105"/>
      <c r="IR105"/>
      <c r="IS105"/>
      <c r="IT105"/>
      <c r="IU105"/>
      <c r="IV105"/>
    </row>
    <row r="106" spans="1:256" s="114" customFormat="1" ht="12.75" customHeight="1">
      <c r="A106" s="54"/>
      <c r="B106" s="60"/>
      <c r="C106" s="7">
        <v>4810</v>
      </c>
      <c r="D106" s="129" t="s">
        <v>209</v>
      </c>
      <c r="E106" s="58"/>
      <c r="F106" s="58">
        <v>10000</v>
      </c>
      <c r="G106" s="121">
        <f>F106</f>
        <v>10000</v>
      </c>
      <c r="H106" s="121"/>
      <c r="I106" s="139"/>
      <c r="J106" s="139"/>
      <c r="K106" s="139"/>
      <c r="L106" s="139"/>
      <c r="M106" s="113"/>
      <c r="IK106" s="2"/>
      <c r="IL106" s="2"/>
      <c r="IM106"/>
      <c r="IN106"/>
      <c r="IO106"/>
      <c r="IP106"/>
      <c r="IQ106"/>
      <c r="IR106"/>
      <c r="IS106"/>
      <c r="IT106"/>
      <c r="IU106"/>
      <c r="IV106"/>
    </row>
    <row r="107" spans="1:256" s="114" customFormat="1" ht="12.75" customHeight="1">
      <c r="A107" s="54"/>
      <c r="B107" s="55">
        <v>75495</v>
      </c>
      <c r="C107" s="56" t="s">
        <v>23</v>
      </c>
      <c r="D107" s="56"/>
      <c r="E107" s="17">
        <f>SUM(E108:E109)</f>
        <v>24400</v>
      </c>
      <c r="F107" s="17">
        <f>SUM(F108:F109)</f>
        <v>1400</v>
      </c>
      <c r="G107" s="17">
        <f>SUM(G108:G109)</f>
        <v>1400</v>
      </c>
      <c r="H107" s="17">
        <f>SUM(H108:H109)</f>
        <v>0</v>
      </c>
      <c r="I107" s="17">
        <f>SUM(I108:I109)</f>
        <v>0</v>
      </c>
      <c r="J107" s="17">
        <f>SUM(J108:J109)</f>
        <v>0</v>
      </c>
      <c r="K107" s="17">
        <f>SUM(K108:K109)</f>
        <v>0</v>
      </c>
      <c r="L107" s="17">
        <f>SUM(L108:L109)</f>
        <v>0</v>
      </c>
      <c r="M107" s="113"/>
      <c r="IK107" s="2"/>
      <c r="IL107" s="2"/>
      <c r="IM107"/>
      <c r="IN107"/>
      <c r="IO107"/>
      <c r="IP107"/>
      <c r="IQ107"/>
      <c r="IR107"/>
      <c r="IS107"/>
      <c r="IT107"/>
      <c r="IU107"/>
      <c r="IV107"/>
    </row>
    <row r="108" spans="1:256" s="114" customFormat="1" ht="12.75" customHeight="1">
      <c r="A108" s="54"/>
      <c r="B108" s="125"/>
      <c r="C108" s="124">
        <v>4300</v>
      </c>
      <c r="D108" s="129" t="s">
        <v>190</v>
      </c>
      <c r="E108" s="58">
        <v>1400</v>
      </c>
      <c r="F108" s="58">
        <v>1400</v>
      </c>
      <c r="G108" s="121">
        <f>F108</f>
        <v>1400</v>
      </c>
      <c r="H108" s="121"/>
      <c r="I108" s="139"/>
      <c r="J108" s="139"/>
      <c r="K108" s="139"/>
      <c r="L108" s="139"/>
      <c r="M108" s="113"/>
      <c r="IK108" s="2"/>
      <c r="IL108" s="2"/>
      <c r="IM108"/>
      <c r="IN108"/>
      <c r="IO108"/>
      <c r="IP108"/>
      <c r="IQ108"/>
      <c r="IR108"/>
      <c r="IS108"/>
      <c r="IT108"/>
      <c r="IU108"/>
      <c r="IV108"/>
    </row>
    <row r="109" spans="1:256" s="114" customFormat="1" ht="12.75" customHeight="1">
      <c r="A109" s="59"/>
      <c r="B109" s="60"/>
      <c r="C109" s="126">
        <v>6050</v>
      </c>
      <c r="D109" s="119" t="s">
        <v>165</v>
      </c>
      <c r="E109" s="144">
        <v>23000</v>
      </c>
      <c r="F109" s="144"/>
      <c r="G109" s="121"/>
      <c r="H109" s="121"/>
      <c r="I109" s="139"/>
      <c r="J109" s="139"/>
      <c r="K109" s="139"/>
      <c r="L109" s="139"/>
      <c r="M109" s="113"/>
      <c r="IK109" s="2"/>
      <c r="IL109" s="2"/>
      <c r="IM109"/>
      <c r="IN109"/>
      <c r="IO109"/>
      <c r="IP109"/>
      <c r="IQ109"/>
      <c r="IR109"/>
      <c r="IS109"/>
      <c r="IT109"/>
      <c r="IU109"/>
      <c r="IV109"/>
    </row>
    <row r="110" spans="1:256" s="114" customFormat="1" ht="45.75" customHeight="1">
      <c r="A110" s="111" t="s">
        <v>64</v>
      </c>
      <c r="B110" s="145" t="s">
        <v>65</v>
      </c>
      <c r="C110" s="145"/>
      <c r="D110" s="145"/>
      <c r="E110" s="112">
        <f>SUM(E111)</f>
        <v>22000</v>
      </c>
      <c r="F110" s="112">
        <f>SUM(F111)</f>
        <v>30000</v>
      </c>
      <c r="G110" s="131">
        <f>SUM(G111)</f>
        <v>30000</v>
      </c>
      <c r="H110" s="131">
        <f>SUM(H111)</f>
        <v>0</v>
      </c>
      <c r="I110" s="131">
        <f>SUM(I111)</f>
        <v>0</v>
      </c>
      <c r="J110" s="131">
        <f>SUM(J111)</f>
        <v>0</v>
      </c>
      <c r="K110" s="131">
        <f>SUM(K111)</f>
        <v>0</v>
      </c>
      <c r="L110" s="131">
        <f>SUM(L111)</f>
        <v>0</v>
      </c>
      <c r="M110" s="113"/>
      <c r="IK110" s="2"/>
      <c r="IL110" s="2"/>
      <c r="IM110"/>
      <c r="IN110"/>
      <c r="IO110"/>
      <c r="IP110"/>
      <c r="IQ110"/>
      <c r="IR110"/>
      <c r="IS110"/>
      <c r="IT110"/>
      <c r="IU110"/>
      <c r="IV110"/>
    </row>
    <row r="111" spans="1:256" s="114" customFormat="1" ht="12.75" customHeight="1">
      <c r="A111" s="51"/>
      <c r="B111" s="149">
        <v>75647</v>
      </c>
      <c r="C111" s="150" t="s">
        <v>210</v>
      </c>
      <c r="D111" s="150"/>
      <c r="E111" s="17">
        <f>SUM(E112:E113)</f>
        <v>22000</v>
      </c>
      <c r="F111" s="17">
        <f>SUM(F112:F113)</f>
        <v>30000</v>
      </c>
      <c r="G111" s="123">
        <f>SUM(G112:G113)</f>
        <v>30000</v>
      </c>
      <c r="H111" s="123">
        <f>SUM(H112:H113)</f>
        <v>0</v>
      </c>
      <c r="I111" s="123">
        <f>SUM(I112:I113)</f>
        <v>0</v>
      </c>
      <c r="J111" s="123">
        <f>SUM(J112:J113)</f>
        <v>0</v>
      </c>
      <c r="K111" s="123">
        <f>SUM(K112:K113)</f>
        <v>0</v>
      </c>
      <c r="L111" s="123">
        <f>SUM(L112:L113)</f>
        <v>0</v>
      </c>
      <c r="M111" s="113"/>
      <c r="IK111" s="2"/>
      <c r="IL111" s="2"/>
      <c r="IM111"/>
      <c r="IN111"/>
      <c r="IO111"/>
      <c r="IP111"/>
      <c r="IQ111"/>
      <c r="IR111"/>
      <c r="IS111"/>
      <c r="IT111"/>
      <c r="IU111"/>
      <c r="IV111"/>
    </row>
    <row r="112" spans="1:256" s="114" customFormat="1" ht="12.75" customHeight="1">
      <c r="A112" s="51"/>
      <c r="B112" s="151"/>
      <c r="C112" s="7">
        <v>4100</v>
      </c>
      <c r="D112" s="138" t="s">
        <v>185</v>
      </c>
      <c r="E112" s="58">
        <v>19000</v>
      </c>
      <c r="F112" s="58">
        <v>25000</v>
      </c>
      <c r="G112" s="121">
        <f>F112</f>
        <v>25000</v>
      </c>
      <c r="H112" s="121"/>
      <c r="I112" s="139"/>
      <c r="J112" s="139"/>
      <c r="K112" s="139"/>
      <c r="L112" s="139"/>
      <c r="M112" s="113"/>
      <c r="IK112" s="2"/>
      <c r="IL112" s="2"/>
      <c r="IM112"/>
      <c r="IN112"/>
      <c r="IO112"/>
      <c r="IP112"/>
      <c r="IQ112"/>
      <c r="IR112"/>
      <c r="IS112"/>
      <c r="IT112"/>
      <c r="IU112"/>
      <c r="IV112"/>
    </row>
    <row r="113" spans="1:256" s="114" customFormat="1" ht="12.75" customHeight="1">
      <c r="A113" s="51"/>
      <c r="B113" s="151"/>
      <c r="C113" s="124">
        <v>4300</v>
      </c>
      <c r="D113" s="129" t="s">
        <v>190</v>
      </c>
      <c r="E113" s="58">
        <v>3000</v>
      </c>
      <c r="F113" s="58">
        <v>5000</v>
      </c>
      <c r="G113" s="121">
        <f>F113</f>
        <v>5000</v>
      </c>
      <c r="H113" s="121"/>
      <c r="I113" s="139"/>
      <c r="J113" s="139"/>
      <c r="K113" s="139"/>
      <c r="L113" s="139"/>
      <c r="M113" s="113"/>
      <c r="IK113" s="2"/>
      <c r="IL113" s="2"/>
      <c r="IM113"/>
      <c r="IN113"/>
      <c r="IO113"/>
      <c r="IP113"/>
      <c r="IQ113"/>
      <c r="IR113"/>
      <c r="IS113"/>
      <c r="IT113"/>
      <c r="IU113"/>
      <c r="IV113"/>
    </row>
    <row r="114" spans="1:256" s="117" customFormat="1" ht="13.5">
      <c r="A114" s="79">
        <v>757</v>
      </c>
      <c r="B114" s="80" t="s">
        <v>211</v>
      </c>
      <c r="C114" s="80"/>
      <c r="D114" s="80"/>
      <c r="E114" s="112">
        <f>SUM(E115)</f>
        <v>30000</v>
      </c>
      <c r="F114" s="112">
        <f>SUM(F115)</f>
        <v>20000</v>
      </c>
      <c r="G114" s="131">
        <f>SUM(G115)</f>
        <v>20000</v>
      </c>
      <c r="H114" s="121"/>
      <c r="I114" s="131"/>
      <c r="J114" s="131"/>
      <c r="K114" s="131"/>
      <c r="L114" s="131"/>
      <c r="M114" s="116"/>
      <c r="IK114" s="2"/>
      <c r="IL114" s="2"/>
      <c r="IM114"/>
      <c r="IN114"/>
      <c r="IO114"/>
      <c r="IP114"/>
      <c r="IQ114"/>
      <c r="IR114"/>
      <c r="IS114"/>
      <c r="IT114"/>
      <c r="IU114"/>
      <c r="IV114"/>
    </row>
    <row r="115" spans="1:13" ht="12.75" customHeight="1">
      <c r="A115" s="54"/>
      <c r="B115" s="83">
        <v>75702</v>
      </c>
      <c r="C115" s="152" t="s">
        <v>212</v>
      </c>
      <c r="D115" s="152"/>
      <c r="E115" s="17">
        <f>SUM(E116)</f>
        <v>30000</v>
      </c>
      <c r="F115" s="17">
        <f>SUM(F116)</f>
        <v>20000</v>
      </c>
      <c r="G115" s="123">
        <f>SUM(G116)</f>
        <v>20000</v>
      </c>
      <c r="H115" s="121"/>
      <c r="I115" s="121"/>
      <c r="J115" s="121"/>
      <c r="K115" s="121"/>
      <c r="L115" s="121"/>
      <c r="M115" s="101"/>
    </row>
    <row r="116" spans="1:256" s="114" customFormat="1" ht="26.25" customHeight="1">
      <c r="A116" s="59"/>
      <c r="B116" s="153"/>
      <c r="C116" s="7">
        <v>8070</v>
      </c>
      <c r="D116" s="20" t="s">
        <v>213</v>
      </c>
      <c r="E116" s="58">
        <v>30000</v>
      </c>
      <c r="F116" s="58">
        <v>20000</v>
      </c>
      <c r="G116" s="121">
        <f>F116</f>
        <v>20000</v>
      </c>
      <c r="H116" s="121"/>
      <c r="I116" s="139"/>
      <c r="J116" s="121">
        <f>F116</f>
        <v>20000</v>
      </c>
      <c r="K116" s="139"/>
      <c r="L116" s="139"/>
      <c r="M116" s="113"/>
      <c r="IK116" s="2"/>
      <c r="IL116" s="2"/>
      <c r="IM116"/>
      <c r="IN116"/>
      <c r="IO116"/>
      <c r="IP116"/>
      <c r="IQ116"/>
      <c r="IR116"/>
      <c r="IS116"/>
      <c r="IT116"/>
      <c r="IU116"/>
      <c r="IV116"/>
    </row>
    <row r="117" spans="1:256" s="117" customFormat="1" ht="15.75" customHeight="1">
      <c r="A117" s="79">
        <v>758</v>
      </c>
      <c r="B117" s="80" t="s">
        <v>105</v>
      </c>
      <c r="C117" s="80"/>
      <c r="D117" s="80"/>
      <c r="E117" s="112">
        <f>SUM(E118)</f>
        <v>34000</v>
      </c>
      <c r="F117" s="112">
        <f>SUM(F118)</f>
        <v>70000</v>
      </c>
      <c r="G117" s="131">
        <f>SUM(G118)</f>
        <v>70000</v>
      </c>
      <c r="H117" s="121"/>
      <c r="I117" s="131"/>
      <c r="J117" s="131"/>
      <c r="K117" s="131"/>
      <c r="L117" s="131"/>
      <c r="M117" s="116"/>
      <c r="IK117" s="2"/>
      <c r="IL117" s="2"/>
      <c r="IM117"/>
      <c r="IN117"/>
      <c r="IO117"/>
      <c r="IP117"/>
      <c r="IQ117"/>
      <c r="IR117"/>
      <c r="IS117"/>
      <c r="IT117"/>
      <c r="IU117"/>
      <c r="IV117"/>
    </row>
    <row r="118" spans="1:13" ht="15">
      <c r="A118" s="54"/>
      <c r="B118" s="55">
        <v>75818</v>
      </c>
      <c r="C118" s="56" t="s">
        <v>214</v>
      </c>
      <c r="D118" s="56"/>
      <c r="E118" s="17">
        <f>SUM(E119)</f>
        <v>34000</v>
      </c>
      <c r="F118" s="17">
        <f>SUM(F119)</f>
        <v>70000</v>
      </c>
      <c r="G118" s="123">
        <f>SUM(G119)</f>
        <v>70000</v>
      </c>
      <c r="H118" s="121"/>
      <c r="I118" s="121"/>
      <c r="J118" s="121"/>
      <c r="K118" s="121"/>
      <c r="L118" s="121"/>
      <c r="M118" s="101"/>
    </row>
    <row r="119" spans="1:256" s="114" customFormat="1" ht="15">
      <c r="A119" s="59"/>
      <c r="B119" s="60"/>
      <c r="C119" s="7">
        <v>4810</v>
      </c>
      <c r="D119" s="129" t="s">
        <v>209</v>
      </c>
      <c r="E119" s="21">
        <v>34000</v>
      </c>
      <c r="F119" s="21">
        <v>70000</v>
      </c>
      <c r="G119" s="121">
        <f>F119</f>
        <v>70000</v>
      </c>
      <c r="H119" s="121"/>
      <c r="I119" s="139"/>
      <c r="J119" s="139"/>
      <c r="K119" s="139"/>
      <c r="L119" s="139"/>
      <c r="M119" s="113"/>
      <c r="IK119" s="2"/>
      <c r="IL119" s="2"/>
      <c r="IM119"/>
      <c r="IN119"/>
      <c r="IO119"/>
      <c r="IP119"/>
      <c r="IQ119"/>
      <c r="IR119"/>
      <c r="IS119"/>
      <c r="IT119"/>
      <c r="IU119"/>
      <c r="IV119"/>
    </row>
    <row r="120" spans="1:256" s="114" customFormat="1" ht="15">
      <c r="A120" s="79">
        <v>801</v>
      </c>
      <c r="B120" s="80" t="s">
        <v>118</v>
      </c>
      <c r="C120" s="80"/>
      <c r="D120" s="80"/>
      <c r="E120" s="112">
        <f>SUM(E121,E141,E151,E172,E181,E185)</f>
        <v>2289800</v>
      </c>
      <c r="F120" s="112">
        <f>SUM(F121,F141,F151,F172,F181,F185)</f>
        <v>2474642</v>
      </c>
      <c r="G120" s="131">
        <f>SUM(G121,G141,G151,G172,G181,G185)</f>
        <v>2459642</v>
      </c>
      <c r="H120" s="131">
        <f>SUM(H121,H141,H151,H172,H181,H185)</f>
        <v>1740445</v>
      </c>
      <c r="I120" s="131">
        <f>SUM(I121,I141,I151,I172,I181,I185)</f>
        <v>0</v>
      </c>
      <c r="J120" s="131">
        <f>SUM(J121,J141,J151,J172,J181,J185)</f>
        <v>0</v>
      </c>
      <c r="K120" s="131">
        <f>SUM(K121,K141,K151,K172,K181,K185)</f>
        <v>0</v>
      </c>
      <c r="L120" s="131">
        <f>SUM(L121,L141,L151,L172,L181,L185)</f>
        <v>15000</v>
      </c>
      <c r="M120" s="113"/>
      <c r="IK120" s="2"/>
      <c r="IL120" s="2"/>
      <c r="IM120"/>
      <c r="IN120"/>
      <c r="IO120"/>
      <c r="IP120"/>
      <c r="IQ120"/>
      <c r="IR120"/>
      <c r="IS120"/>
      <c r="IT120"/>
      <c r="IU120"/>
      <c r="IV120"/>
    </row>
    <row r="121" spans="1:256" s="114" customFormat="1" ht="12.75" customHeight="1">
      <c r="A121" s="54"/>
      <c r="B121" s="83">
        <v>80101</v>
      </c>
      <c r="C121" s="84" t="s">
        <v>119</v>
      </c>
      <c r="D121" s="84"/>
      <c r="E121" s="154">
        <f>SUM(E122:E140)</f>
        <v>1266477</v>
      </c>
      <c r="F121" s="154">
        <f>SUM(F122:F140)</f>
        <v>1385539</v>
      </c>
      <c r="G121" s="155">
        <f>SUM(G122:G140)</f>
        <v>1385539</v>
      </c>
      <c r="H121" s="155">
        <f>SUM(H122:H140)</f>
        <v>1071125</v>
      </c>
      <c r="I121" s="155">
        <f>SUM(I122:I140)</f>
        <v>0</v>
      </c>
      <c r="J121" s="156">
        <f>SUM(J122:J140)</f>
        <v>0</v>
      </c>
      <c r="K121" s="156">
        <f>SUM(K122:K140)</f>
        <v>0</v>
      </c>
      <c r="L121" s="156">
        <f>SUM(L122:L140)</f>
        <v>0</v>
      </c>
      <c r="M121" s="113"/>
      <c r="IK121" s="2"/>
      <c r="IL121" s="2"/>
      <c r="IM121"/>
      <c r="IN121"/>
      <c r="IO121"/>
      <c r="IP121"/>
      <c r="IQ121"/>
      <c r="IR121"/>
      <c r="IS121"/>
      <c r="IT121"/>
      <c r="IU121"/>
      <c r="IV121"/>
    </row>
    <row r="122" spans="1:256" s="114" customFormat="1" ht="12.75" customHeight="1">
      <c r="A122" s="54"/>
      <c r="B122" s="141"/>
      <c r="C122" s="7">
        <v>3020</v>
      </c>
      <c r="D122" s="146" t="s">
        <v>197</v>
      </c>
      <c r="E122" s="21">
        <f>2a!E7+2a!E27</f>
        <v>69700</v>
      </c>
      <c r="F122" s="21">
        <f>2a!F7+2a!F27</f>
        <v>86050</v>
      </c>
      <c r="G122" s="157">
        <f>F122</f>
        <v>86050</v>
      </c>
      <c r="H122" s="157"/>
      <c r="I122" s="139"/>
      <c r="J122" s="139"/>
      <c r="K122" s="139"/>
      <c r="L122" s="139"/>
      <c r="M122" s="113"/>
      <c r="IK122" s="2"/>
      <c r="IL122" s="2"/>
      <c r="IM122"/>
      <c r="IN122"/>
      <c r="IO122"/>
      <c r="IP122"/>
      <c r="IQ122"/>
      <c r="IR122"/>
      <c r="IS122"/>
      <c r="IT122"/>
      <c r="IU122"/>
      <c r="IV122"/>
    </row>
    <row r="123" spans="1:256" s="114" customFormat="1" ht="12.75" customHeight="1">
      <c r="A123" s="54"/>
      <c r="B123" s="141"/>
      <c r="C123" s="124">
        <v>3040</v>
      </c>
      <c r="D123" s="158" t="s">
        <v>198</v>
      </c>
      <c r="E123" s="21">
        <f>2a!E8+2a!E28</f>
        <v>7036</v>
      </c>
      <c r="F123" s="21">
        <f>2a!F8+2a!F28</f>
        <v>8500</v>
      </c>
      <c r="G123" s="157">
        <f>F123</f>
        <v>8500</v>
      </c>
      <c r="H123" s="157"/>
      <c r="I123" s="139"/>
      <c r="J123" s="139"/>
      <c r="K123" s="139"/>
      <c r="L123" s="139"/>
      <c r="M123" s="113"/>
      <c r="IK123" s="2"/>
      <c r="IL123" s="2"/>
      <c r="IM123"/>
      <c r="IN123"/>
      <c r="IO123"/>
      <c r="IP123"/>
      <c r="IQ123"/>
      <c r="IR123"/>
      <c r="IS123"/>
      <c r="IT123"/>
      <c r="IU123"/>
      <c r="IV123"/>
    </row>
    <row r="124" spans="1:256" s="114" customFormat="1" ht="12.75" customHeight="1">
      <c r="A124" s="54"/>
      <c r="B124" s="141"/>
      <c r="C124" s="7">
        <v>4010</v>
      </c>
      <c r="D124" s="146" t="s">
        <v>184</v>
      </c>
      <c r="E124" s="21">
        <f>2a!E9+2a!E29</f>
        <v>741234</v>
      </c>
      <c r="F124" s="21">
        <f>2a!F9+2a!F29</f>
        <v>831205</v>
      </c>
      <c r="G124" s="157">
        <f>F124</f>
        <v>831205</v>
      </c>
      <c r="H124" s="157">
        <f>G124</f>
        <v>831205</v>
      </c>
      <c r="I124" s="139"/>
      <c r="J124" s="139"/>
      <c r="K124" s="139"/>
      <c r="L124" s="139"/>
      <c r="M124" s="113"/>
      <c r="IK124" s="2"/>
      <c r="IL124" s="2"/>
      <c r="IM124"/>
      <c r="IN124"/>
      <c r="IO124"/>
      <c r="IP124"/>
      <c r="IQ124"/>
      <c r="IR124"/>
      <c r="IS124"/>
      <c r="IT124"/>
      <c r="IU124"/>
      <c r="IV124"/>
    </row>
    <row r="125" spans="1:256" s="114" customFormat="1" ht="12.75" customHeight="1">
      <c r="A125" s="54"/>
      <c r="B125" s="141"/>
      <c r="C125" s="7">
        <v>4040</v>
      </c>
      <c r="D125" s="146" t="s">
        <v>215</v>
      </c>
      <c r="E125" s="21">
        <f>2a!E10+2a!E30</f>
        <v>60400</v>
      </c>
      <c r="F125" s="21">
        <f>2a!F10+2a!F30</f>
        <v>72800</v>
      </c>
      <c r="G125" s="157">
        <f>F125</f>
        <v>72800</v>
      </c>
      <c r="H125" s="157">
        <f>G125</f>
        <v>72800</v>
      </c>
      <c r="I125" s="139"/>
      <c r="J125" s="139"/>
      <c r="K125" s="139"/>
      <c r="L125" s="139"/>
      <c r="M125" s="113"/>
      <c r="IK125" s="2"/>
      <c r="IL125" s="2"/>
      <c r="IM125"/>
      <c r="IN125"/>
      <c r="IO125"/>
      <c r="IP125"/>
      <c r="IQ125"/>
      <c r="IR125"/>
      <c r="IS125"/>
      <c r="IT125"/>
      <c r="IU125"/>
      <c r="IV125"/>
    </row>
    <row r="126" spans="1:256" s="114" customFormat="1" ht="12.75" customHeight="1">
      <c r="A126" s="54"/>
      <c r="B126" s="141"/>
      <c r="C126" s="7">
        <v>4110</v>
      </c>
      <c r="D126" s="146" t="s">
        <v>186</v>
      </c>
      <c r="E126" s="21">
        <f>2a!E11+2a!E31</f>
        <v>140400</v>
      </c>
      <c r="F126" s="21">
        <f>2a!F11+2a!F31</f>
        <v>143740</v>
      </c>
      <c r="G126" s="157">
        <f>F126</f>
        <v>143740</v>
      </c>
      <c r="H126" s="157">
        <f>G126</f>
        <v>143740</v>
      </c>
      <c r="I126" s="139"/>
      <c r="J126" s="139"/>
      <c r="K126" s="139"/>
      <c r="L126" s="139"/>
      <c r="M126" s="113"/>
      <c r="IK126" s="2"/>
      <c r="IL126" s="2"/>
      <c r="IM126"/>
      <c r="IN126"/>
      <c r="IO126"/>
      <c r="IP126"/>
      <c r="IQ126"/>
      <c r="IR126"/>
      <c r="IS126"/>
      <c r="IT126"/>
      <c r="IU126"/>
      <c r="IV126"/>
    </row>
    <row r="127" spans="1:256" s="114" customFormat="1" ht="12.75" customHeight="1">
      <c r="A127" s="54"/>
      <c r="B127" s="141"/>
      <c r="C127" s="7">
        <v>4120</v>
      </c>
      <c r="D127" s="146" t="s">
        <v>187</v>
      </c>
      <c r="E127" s="21">
        <f>2a!E12+2a!E32</f>
        <v>20200</v>
      </c>
      <c r="F127" s="21">
        <f>2a!F12+2a!F32</f>
        <v>23380</v>
      </c>
      <c r="G127" s="157">
        <f>F127</f>
        <v>23380</v>
      </c>
      <c r="H127" s="157">
        <f>G127</f>
        <v>23380</v>
      </c>
      <c r="I127" s="139"/>
      <c r="J127" s="139"/>
      <c r="K127" s="139"/>
      <c r="L127" s="139"/>
      <c r="M127" s="113"/>
      <c r="IK127" s="2"/>
      <c r="IL127" s="2"/>
      <c r="IM127"/>
      <c r="IN127"/>
      <c r="IO127"/>
      <c r="IP127"/>
      <c r="IQ127"/>
      <c r="IR127"/>
      <c r="IS127"/>
      <c r="IT127"/>
      <c r="IU127"/>
      <c r="IV127"/>
    </row>
    <row r="128" spans="1:256" s="114" customFormat="1" ht="12.75" customHeight="1">
      <c r="A128" s="54"/>
      <c r="B128" s="141"/>
      <c r="C128" s="7">
        <v>4210</v>
      </c>
      <c r="D128" s="146" t="s">
        <v>170</v>
      </c>
      <c r="E128" s="21">
        <f>2a!E13+2a!E33</f>
        <v>76000</v>
      </c>
      <c r="F128" s="21">
        <f>2a!F13+2a!F33</f>
        <v>81500</v>
      </c>
      <c r="G128" s="157">
        <f>F128</f>
        <v>81500</v>
      </c>
      <c r="H128" s="157"/>
      <c r="I128" s="139"/>
      <c r="J128" s="139"/>
      <c r="K128" s="139"/>
      <c r="L128" s="139"/>
      <c r="M128" s="113"/>
      <c r="IK128" s="2"/>
      <c r="IL128" s="2"/>
      <c r="IM128"/>
      <c r="IN128"/>
      <c r="IO128"/>
      <c r="IP128"/>
      <c r="IQ128"/>
      <c r="IR128"/>
      <c r="IS128"/>
      <c r="IT128"/>
      <c r="IU128"/>
      <c r="IV128"/>
    </row>
    <row r="129" spans="1:256" s="114" customFormat="1" ht="12.75" customHeight="1">
      <c r="A129" s="54"/>
      <c r="B129" s="141"/>
      <c r="C129" s="7">
        <v>4240</v>
      </c>
      <c r="D129" s="146" t="s">
        <v>216</v>
      </c>
      <c r="E129" s="21">
        <f>2a!E14+2a!E34</f>
        <v>1500</v>
      </c>
      <c r="F129" s="21">
        <f>2a!F14+2a!F34</f>
        <v>2500</v>
      </c>
      <c r="G129" s="157">
        <f>F129</f>
        <v>2500</v>
      </c>
      <c r="H129" s="157"/>
      <c r="I129" s="139"/>
      <c r="J129" s="139"/>
      <c r="K129" s="139"/>
      <c r="L129" s="139"/>
      <c r="M129" s="113"/>
      <c r="IK129" s="2"/>
      <c r="IL129" s="2"/>
      <c r="IM129"/>
      <c r="IN129"/>
      <c r="IO129"/>
      <c r="IP129"/>
      <c r="IQ129"/>
      <c r="IR129"/>
      <c r="IS129"/>
      <c r="IT129"/>
      <c r="IU129"/>
      <c r="IV129"/>
    </row>
    <row r="130" spans="1:256" s="114" customFormat="1" ht="12.75" customHeight="1">
      <c r="A130" s="54"/>
      <c r="B130" s="141"/>
      <c r="C130" s="7">
        <v>4260</v>
      </c>
      <c r="D130" s="146" t="s">
        <v>199</v>
      </c>
      <c r="E130" s="21">
        <f>2a!E15+2a!E35</f>
        <v>12000</v>
      </c>
      <c r="F130" s="21">
        <f>2a!F15+2a!F35</f>
        <v>12500</v>
      </c>
      <c r="G130" s="157">
        <f>F130</f>
        <v>12500</v>
      </c>
      <c r="H130" s="157"/>
      <c r="I130" s="139"/>
      <c r="J130" s="139"/>
      <c r="K130" s="139"/>
      <c r="L130" s="139"/>
      <c r="M130" s="113"/>
      <c r="IK130" s="2"/>
      <c r="IL130" s="2"/>
      <c r="IM130"/>
      <c r="IN130"/>
      <c r="IO130"/>
      <c r="IP130"/>
      <c r="IQ130"/>
      <c r="IR130"/>
      <c r="IS130"/>
      <c r="IT130"/>
      <c r="IU130"/>
      <c r="IV130"/>
    </row>
    <row r="131" spans="1:256" s="114" customFormat="1" ht="12.75" customHeight="1">
      <c r="A131" s="54"/>
      <c r="B131" s="141"/>
      <c r="C131" s="124">
        <v>4270</v>
      </c>
      <c r="D131" s="129" t="s">
        <v>217</v>
      </c>
      <c r="E131" s="21">
        <f>2a!E16+2a!E36</f>
        <v>40000</v>
      </c>
      <c r="F131" s="21">
        <f>2a!F16+2a!F36</f>
        <v>20000</v>
      </c>
      <c r="G131" s="157">
        <f>F131</f>
        <v>20000</v>
      </c>
      <c r="H131" s="157"/>
      <c r="I131" s="139"/>
      <c r="J131" s="139"/>
      <c r="K131" s="139"/>
      <c r="L131" s="139"/>
      <c r="M131" s="113"/>
      <c r="IK131" s="2"/>
      <c r="IL131" s="2"/>
      <c r="IM131"/>
      <c r="IN131"/>
      <c r="IO131"/>
      <c r="IP131"/>
      <c r="IQ131"/>
      <c r="IR131"/>
      <c r="IS131"/>
      <c r="IT131"/>
      <c r="IU131"/>
      <c r="IV131"/>
    </row>
    <row r="132" spans="1:256" s="114" customFormat="1" ht="12.75" customHeight="1">
      <c r="A132" s="54"/>
      <c r="B132" s="141"/>
      <c r="C132" s="124">
        <v>4280</v>
      </c>
      <c r="D132" s="129" t="s">
        <v>218</v>
      </c>
      <c r="E132" s="21">
        <f>2a!E17+2a!E37</f>
        <v>0</v>
      </c>
      <c r="F132" s="21">
        <f>2a!F17+2a!F37</f>
        <v>2000</v>
      </c>
      <c r="G132" s="157">
        <f>F132</f>
        <v>2000</v>
      </c>
      <c r="H132" s="157"/>
      <c r="I132" s="139"/>
      <c r="J132" s="139"/>
      <c r="K132" s="139"/>
      <c r="L132" s="139"/>
      <c r="M132" s="113"/>
      <c r="IK132" s="2"/>
      <c r="IL132" s="2"/>
      <c r="IM132"/>
      <c r="IN132"/>
      <c r="IO132"/>
      <c r="IP132"/>
      <c r="IQ132"/>
      <c r="IR132"/>
      <c r="IS132"/>
      <c r="IT132"/>
      <c r="IU132"/>
      <c r="IV132"/>
    </row>
    <row r="133" spans="1:256" s="114" customFormat="1" ht="12.75" customHeight="1">
      <c r="A133" s="54"/>
      <c r="B133" s="141"/>
      <c r="C133" s="7">
        <v>4300</v>
      </c>
      <c r="D133" s="146" t="s">
        <v>190</v>
      </c>
      <c r="E133" s="21">
        <f>2a!E18+2a!E38</f>
        <v>20000</v>
      </c>
      <c r="F133" s="21">
        <f>2a!F18+2a!F38</f>
        <v>18000</v>
      </c>
      <c r="G133" s="157">
        <f>F133</f>
        <v>18000</v>
      </c>
      <c r="H133" s="157"/>
      <c r="I133" s="139"/>
      <c r="J133" s="139"/>
      <c r="K133" s="139"/>
      <c r="L133" s="139"/>
      <c r="M133" s="113"/>
      <c r="IK133" s="2"/>
      <c r="IL133" s="2"/>
      <c r="IM133"/>
      <c r="IN133"/>
      <c r="IO133"/>
      <c r="IP133"/>
      <c r="IQ133"/>
      <c r="IR133"/>
      <c r="IS133"/>
      <c r="IT133"/>
      <c r="IU133"/>
      <c r="IV133"/>
    </row>
    <row r="134" spans="1:256" s="114" customFormat="1" ht="12.75" customHeight="1">
      <c r="A134" s="54"/>
      <c r="B134" s="141"/>
      <c r="C134" s="124">
        <v>4350</v>
      </c>
      <c r="D134" s="129" t="s">
        <v>200</v>
      </c>
      <c r="E134" s="21">
        <f>2a!E19+2a!E39</f>
        <v>2000</v>
      </c>
      <c r="F134" s="21">
        <f>2a!F19+2a!F39</f>
        <v>1000</v>
      </c>
      <c r="G134" s="157">
        <f>F134</f>
        <v>1000</v>
      </c>
      <c r="H134" s="157"/>
      <c r="I134" s="139"/>
      <c r="J134" s="139"/>
      <c r="K134" s="139"/>
      <c r="L134" s="139"/>
      <c r="M134" s="113"/>
      <c r="IK134" s="2"/>
      <c r="IL134" s="2"/>
      <c r="IM134"/>
      <c r="IN134"/>
      <c r="IO134"/>
      <c r="IP134"/>
      <c r="IQ134"/>
      <c r="IR134"/>
      <c r="IS134"/>
      <c r="IT134"/>
      <c r="IU134"/>
      <c r="IV134"/>
    </row>
    <row r="135" spans="1:256" s="114" customFormat="1" ht="12.75" customHeight="1">
      <c r="A135" s="54"/>
      <c r="B135" s="141"/>
      <c r="C135" s="124">
        <v>4370</v>
      </c>
      <c r="D135" s="129" t="s">
        <v>202</v>
      </c>
      <c r="E135" s="21">
        <f>2a!E20+2a!E40</f>
        <v>4000</v>
      </c>
      <c r="F135" s="21">
        <f>2a!F20+2a!F40</f>
        <v>4500</v>
      </c>
      <c r="G135" s="157">
        <f>F135</f>
        <v>4500</v>
      </c>
      <c r="H135" s="157"/>
      <c r="I135" s="139"/>
      <c r="J135" s="139"/>
      <c r="K135" s="139"/>
      <c r="L135" s="139"/>
      <c r="M135" s="113"/>
      <c r="IK135" s="2"/>
      <c r="IL135" s="2"/>
      <c r="IM135"/>
      <c r="IN135"/>
      <c r="IO135"/>
      <c r="IP135"/>
      <c r="IQ135"/>
      <c r="IR135"/>
      <c r="IS135"/>
      <c r="IT135"/>
      <c r="IU135"/>
      <c r="IV135"/>
    </row>
    <row r="136" spans="1:256" s="114" customFormat="1" ht="12.75" customHeight="1">
      <c r="A136" s="54"/>
      <c r="B136" s="141"/>
      <c r="C136" s="7">
        <v>4410</v>
      </c>
      <c r="D136" s="146" t="s">
        <v>195</v>
      </c>
      <c r="E136" s="21">
        <f>2a!E21+2a!E41</f>
        <v>2500</v>
      </c>
      <c r="F136" s="21">
        <f>2a!F21+2a!F41</f>
        <v>4500</v>
      </c>
      <c r="G136" s="157">
        <f>F136</f>
        <v>4500</v>
      </c>
      <c r="H136" s="157"/>
      <c r="I136" s="139"/>
      <c r="J136" s="139"/>
      <c r="K136" s="139"/>
      <c r="L136" s="139"/>
      <c r="M136" s="113"/>
      <c r="IK136" s="2"/>
      <c r="IL136" s="2"/>
      <c r="IM136"/>
      <c r="IN136"/>
      <c r="IO136"/>
      <c r="IP136"/>
      <c r="IQ136"/>
      <c r="IR136"/>
      <c r="IS136"/>
      <c r="IT136"/>
      <c r="IU136"/>
      <c r="IV136"/>
    </row>
    <row r="137" spans="1:256" s="114" customFormat="1" ht="12.75" customHeight="1">
      <c r="A137" s="54"/>
      <c r="B137" s="141"/>
      <c r="C137" s="7">
        <v>4430</v>
      </c>
      <c r="D137" s="146" t="s">
        <v>171</v>
      </c>
      <c r="E137" s="21">
        <f>2a!E22+2a!E42</f>
        <v>1000</v>
      </c>
      <c r="F137" s="21">
        <f>2a!F22+2a!F42</f>
        <v>1000</v>
      </c>
      <c r="G137" s="157">
        <f>F137</f>
        <v>1000</v>
      </c>
      <c r="H137" s="157"/>
      <c r="I137" s="139"/>
      <c r="J137" s="139"/>
      <c r="K137" s="139"/>
      <c r="L137" s="139"/>
      <c r="M137" s="113"/>
      <c r="IK137" s="2"/>
      <c r="IL137" s="2"/>
      <c r="IM137"/>
      <c r="IN137"/>
      <c r="IO137"/>
      <c r="IP137"/>
      <c r="IQ137"/>
      <c r="IR137"/>
      <c r="IS137"/>
      <c r="IT137"/>
      <c r="IU137"/>
      <c r="IV137"/>
    </row>
    <row r="138" spans="1:256" s="114" customFormat="1" ht="12.75" customHeight="1">
      <c r="A138" s="54"/>
      <c r="B138" s="141"/>
      <c r="C138" s="7">
        <v>4440</v>
      </c>
      <c r="D138" s="129" t="s">
        <v>189</v>
      </c>
      <c r="E138" s="21">
        <f>2a!E23+2a!E43</f>
        <v>61507</v>
      </c>
      <c r="F138" s="21">
        <f>2a!F23+2a!F43</f>
        <v>65764</v>
      </c>
      <c r="G138" s="157">
        <f>F138</f>
        <v>65764</v>
      </c>
      <c r="H138" s="157"/>
      <c r="I138" s="139"/>
      <c r="J138" s="139"/>
      <c r="K138" s="139"/>
      <c r="L138" s="139"/>
      <c r="M138" s="113"/>
      <c r="IK138" s="2"/>
      <c r="IL138" s="2"/>
      <c r="IM138"/>
      <c r="IN138"/>
      <c r="IO138"/>
      <c r="IP138"/>
      <c r="IQ138"/>
      <c r="IR138"/>
      <c r="IS138"/>
      <c r="IT138"/>
      <c r="IU138"/>
      <c r="IV138"/>
    </row>
    <row r="139" spans="1:256" s="114" customFormat="1" ht="24.75">
      <c r="A139" s="54"/>
      <c r="B139" s="141"/>
      <c r="C139" s="124">
        <v>4740</v>
      </c>
      <c r="D139" s="20" t="s">
        <v>204</v>
      </c>
      <c r="E139" s="21">
        <f>2a!E24+2a!E44</f>
        <v>2400</v>
      </c>
      <c r="F139" s="21">
        <f>2a!F24+2a!F44</f>
        <v>2600</v>
      </c>
      <c r="G139" s="157">
        <f>F139</f>
        <v>2600</v>
      </c>
      <c r="H139" s="157"/>
      <c r="I139" s="139"/>
      <c r="J139" s="139"/>
      <c r="K139" s="139"/>
      <c r="L139" s="139"/>
      <c r="M139" s="113"/>
      <c r="IK139" s="2"/>
      <c r="IL139" s="2"/>
      <c r="IM139"/>
      <c r="IN139"/>
      <c r="IO139"/>
      <c r="IP139"/>
      <c r="IQ139"/>
      <c r="IR139"/>
      <c r="IS139"/>
      <c r="IT139"/>
      <c r="IU139"/>
      <c r="IV139"/>
    </row>
    <row r="140" spans="1:256" s="117" customFormat="1" ht="12.75" customHeight="1">
      <c r="A140" s="54"/>
      <c r="B140" s="142"/>
      <c r="C140" s="124">
        <v>4750</v>
      </c>
      <c r="D140" s="20" t="s">
        <v>205</v>
      </c>
      <c r="E140" s="21">
        <f>2a!E25+2a!E45</f>
        <v>4600</v>
      </c>
      <c r="F140" s="21">
        <f>2a!F25+2a!F45</f>
        <v>4000</v>
      </c>
      <c r="G140" s="157">
        <f>F140</f>
        <v>4000</v>
      </c>
      <c r="H140" s="157"/>
      <c r="I140" s="131"/>
      <c r="J140" s="131"/>
      <c r="K140" s="131"/>
      <c r="L140" s="131"/>
      <c r="M140" s="116"/>
      <c r="IK140" s="2"/>
      <c r="IL140" s="2"/>
      <c r="IM140"/>
      <c r="IN140"/>
      <c r="IO140"/>
      <c r="IP140"/>
      <c r="IQ140"/>
      <c r="IR140"/>
      <c r="IS140"/>
      <c r="IT140"/>
      <c r="IU140"/>
      <c r="IV140"/>
    </row>
    <row r="141" spans="1:13" ht="12.75" customHeight="1">
      <c r="A141" s="132"/>
      <c r="B141" s="55">
        <v>80104</v>
      </c>
      <c r="C141" s="159" t="s">
        <v>219</v>
      </c>
      <c r="D141" s="159"/>
      <c r="E141" s="154">
        <f>SUM(E142:E150)</f>
        <v>81750</v>
      </c>
      <c r="F141" s="154">
        <f>SUM(F142:F150)</f>
        <v>100930</v>
      </c>
      <c r="G141" s="155">
        <f>SUM(G142:G150)</f>
        <v>100930</v>
      </c>
      <c r="H141" s="155">
        <f>SUM(H142:H150)</f>
        <v>87600</v>
      </c>
      <c r="I141" s="155">
        <f>SUM(I142:I150)</f>
        <v>0</v>
      </c>
      <c r="J141" s="156">
        <f>SUM(J142:J150)</f>
        <v>0</v>
      </c>
      <c r="K141" s="156">
        <f>SUM(K142:K150)</f>
        <v>0</v>
      </c>
      <c r="L141" s="156">
        <f>SUM(L142:L150)</f>
        <v>0</v>
      </c>
      <c r="M141" s="101"/>
    </row>
    <row r="142" spans="1:13" ht="12.75" customHeight="1">
      <c r="A142" s="132"/>
      <c r="B142" s="125"/>
      <c r="C142" s="7">
        <v>3020</v>
      </c>
      <c r="D142" s="146" t="s">
        <v>197</v>
      </c>
      <c r="E142" s="21">
        <f>2a!E47+2a!E57</f>
        <v>5100</v>
      </c>
      <c r="F142" s="21">
        <f>2a!F47+2a!F57</f>
        <v>7730</v>
      </c>
      <c r="G142" s="157">
        <f>F142</f>
        <v>7730</v>
      </c>
      <c r="H142" s="157"/>
      <c r="I142" s="121"/>
      <c r="J142" s="121"/>
      <c r="K142" s="121"/>
      <c r="L142" s="121"/>
      <c r="M142" s="101"/>
    </row>
    <row r="143" spans="1:13" ht="12.75" customHeight="1">
      <c r="A143" s="132"/>
      <c r="B143" s="160"/>
      <c r="C143" s="124">
        <v>3040</v>
      </c>
      <c r="D143" s="158" t="s">
        <v>198</v>
      </c>
      <c r="E143" s="21">
        <f>2a!E48+2a!E58</f>
        <v>1464</v>
      </c>
      <c r="F143" s="21">
        <f>2a!F48+2a!F58</f>
        <v>1200</v>
      </c>
      <c r="G143" s="157">
        <f>F143</f>
        <v>1200</v>
      </c>
      <c r="H143" s="157"/>
      <c r="I143" s="121"/>
      <c r="J143" s="121"/>
      <c r="K143" s="121"/>
      <c r="L143" s="121"/>
      <c r="M143" s="101"/>
    </row>
    <row r="144" spans="1:13" ht="12.75" customHeight="1">
      <c r="A144" s="132"/>
      <c r="B144" s="160"/>
      <c r="C144" s="7">
        <v>4010</v>
      </c>
      <c r="D144" s="146" t="s">
        <v>184</v>
      </c>
      <c r="E144" s="21">
        <f>2a!E49+2a!E59</f>
        <v>53200</v>
      </c>
      <c r="F144" s="21">
        <f>2a!F49+2a!F59</f>
        <v>67310</v>
      </c>
      <c r="G144" s="157">
        <f>F144</f>
        <v>67310</v>
      </c>
      <c r="H144" s="157">
        <f>G144</f>
        <v>67310</v>
      </c>
      <c r="I144" s="121"/>
      <c r="J144" s="121"/>
      <c r="K144" s="121"/>
      <c r="L144" s="121"/>
      <c r="M144" s="101"/>
    </row>
    <row r="145" spans="1:13" ht="12.75" customHeight="1">
      <c r="A145" s="132"/>
      <c r="B145" s="160"/>
      <c r="C145" s="7">
        <v>4040</v>
      </c>
      <c r="D145" s="146" t="s">
        <v>192</v>
      </c>
      <c r="E145" s="21">
        <f>2a!E50+2a!E60</f>
        <v>6050</v>
      </c>
      <c r="F145" s="21">
        <f>2a!F50+2a!F60</f>
        <v>5900</v>
      </c>
      <c r="G145" s="157">
        <f>F145</f>
        <v>5900</v>
      </c>
      <c r="H145" s="157">
        <f>G145</f>
        <v>5900</v>
      </c>
      <c r="I145" s="121"/>
      <c r="J145" s="121"/>
      <c r="K145" s="121"/>
      <c r="L145" s="121"/>
      <c r="M145" s="101"/>
    </row>
    <row r="146" spans="1:13" ht="12.75" customHeight="1">
      <c r="A146" s="132"/>
      <c r="B146" s="160"/>
      <c r="C146" s="7">
        <v>4110</v>
      </c>
      <c r="D146" s="146" t="s">
        <v>186</v>
      </c>
      <c r="E146" s="21">
        <f>2a!E51+2a!E61</f>
        <v>10300</v>
      </c>
      <c r="F146" s="21">
        <f>2a!F51+2a!F61</f>
        <v>12400</v>
      </c>
      <c r="G146" s="157">
        <f>F146</f>
        <v>12400</v>
      </c>
      <c r="H146" s="157">
        <f>G146</f>
        <v>12400</v>
      </c>
      <c r="I146" s="121"/>
      <c r="J146" s="121"/>
      <c r="K146" s="121"/>
      <c r="L146" s="121"/>
      <c r="M146" s="101"/>
    </row>
    <row r="147" spans="1:13" ht="12.75" customHeight="1">
      <c r="A147" s="132"/>
      <c r="B147" s="160"/>
      <c r="C147" s="7">
        <v>4120</v>
      </c>
      <c r="D147" s="146" t="s">
        <v>187</v>
      </c>
      <c r="E147" s="21">
        <f>2a!E52+2a!E62</f>
        <v>1470</v>
      </c>
      <c r="F147" s="21">
        <f>2a!F52+2a!F62</f>
        <v>1990</v>
      </c>
      <c r="G147" s="157">
        <f>F147</f>
        <v>1990</v>
      </c>
      <c r="H147" s="157">
        <f>G147</f>
        <v>1990</v>
      </c>
      <c r="I147" s="121"/>
      <c r="J147" s="121"/>
      <c r="K147" s="121"/>
      <c r="L147" s="121"/>
      <c r="M147" s="101"/>
    </row>
    <row r="148" spans="1:13" ht="12.75" customHeight="1">
      <c r="A148" s="132"/>
      <c r="B148" s="160"/>
      <c r="C148" s="124">
        <v>4280</v>
      </c>
      <c r="D148" s="129" t="s">
        <v>218</v>
      </c>
      <c r="E148" s="21"/>
      <c r="F148" s="21">
        <f>2a!F53+2a!F63</f>
        <v>50</v>
      </c>
      <c r="G148" s="157">
        <f>F148</f>
        <v>50</v>
      </c>
      <c r="H148" s="157"/>
      <c r="I148" s="121"/>
      <c r="J148" s="121"/>
      <c r="K148" s="121"/>
      <c r="L148" s="121"/>
      <c r="M148" s="101"/>
    </row>
    <row r="149" spans="1:13" ht="12.75" customHeight="1">
      <c r="A149" s="132"/>
      <c r="B149" s="160"/>
      <c r="C149" s="7">
        <v>4410</v>
      </c>
      <c r="D149" s="146" t="s">
        <v>195</v>
      </c>
      <c r="E149" s="21">
        <f>2a!E54+2a!E64</f>
        <v>200</v>
      </c>
      <c r="F149" s="21">
        <f>2a!F54+2a!F64</f>
        <v>200</v>
      </c>
      <c r="G149" s="157">
        <f>F149</f>
        <v>200</v>
      </c>
      <c r="H149" s="157"/>
      <c r="I149" s="121"/>
      <c r="J149" s="121"/>
      <c r="K149" s="121"/>
      <c r="L149" s="121"/>
      <c r="M149" s="101"/>
    </row>
    <row r="150" spans="1:13" ht="12.75" customHeight="1">
      <c r="A150" s="161"/>
      <c r="B150" s="162"/>
      <c r="C150" s="7">
        <v>4440</v>
      </c>
      <c r="D150" s="146" t="s">
        <v>189</v>
      </c>
      <c r="E150" s="21">
        <f>2a!E55+2a!E65</f>
        <v>3966</v>
      </c>
      <c r="F150" s="21">
        <f>2a!F55+2a!F65</f>
        <v>4150</v>
      </c>
      <c r="G150" s="157">
        <f>F150</f>
        <v>4150</v>
      </c>
      <c r="H150" s="157"/>
      <c r="I150" s="121"/>
      <c r="J150" s="121"/>
      <c r="K150" s="121"/>
      <c r="L150" s="121"/>
      <c r="M150" s="101"/>
    </row>
    <row r="151" spans="1:13" ht="12.75" customHeight="1">
      <c r="A151" s="163"/>
      <c r="B151" s="55">
        <v>80110</v>
      </c>
      <c r="C151" s="56" t="s">
        <v>220</v>
      </c>
      <c r="D151" s="56"/>
      <c r="E151" s="154">
        <f>SUM(E152:E171)</f>
        <v>697050</v>
      </c>
      <c r="F151" s="154">
        <f>SUM(F152:F171)</f>
        <v>760512</v>
      </c>
      <c r="G151" s="156">
        <f>SUM(G152:G171)</f>
        <v>745512</v>
      </c>
      <c r="H151" s="156">
        <f>SUM(H152:H171)</f>
        <v>565050</v>
      </c>
      <c r="I151" s="156">
        <f>SUM(I152:I171)</f>
        <v>0</v>
      </c>
      <c r="J151" s="156">
        <f>SUM(J152:J171)</f>
        <v>0</v>
      </c>
      <c r="K151" s="156">
        <f>SUM(K152:K171)</f>
        <v>0</v>
      </c>
      <c r="L151" s="156">
        <f>SUM(L152:L171)</f>
        <v>15000</v>
      </c>
      <c r="M151" s="101"/>
    </row>
    <row r="152" spans="1:13" ht="12.75" customHeight="1">
      <c r="A152" s="132"/>
      <c r="B152" s="134"/>
      <c r="C152" s="7">
        <v>3020</v>
      </c>
      <c r="D152" s="129" t="s">
        <v>197</v>
      </c>
      <c r="E152" s="21">
        <f>2a!E67</f>
        <v>39000</v>
      </c>
      <c r="F152" s="21">
        <f>2a!F67</f>
        <v>44632</v>
      </c>
      <c r="G152" s="157">
        <f>F152</f>
        <v>44632</v>
      </c>
      <c r="H152" s="157"/>
      <c r="I152" s="121"/>
      <c r="J152" s="121"/>
      <c r="K152" s="121"/>
      <c r="L152" s="121"/>
      <c r="M152" s="101"/>
    </row>
    <row r="153" spans="1:13" ht="12.75" customHeight="1">
      <c r="A153" s="132"/>
      <c r="B153" s="134"/>
      <c r="C153" s="124">
        <v>3040</v>
      </c>
      <c r="D153" s="158" t="s">
        <v>198</v>
      </c>
      <c r="E153" s="21">
        <f>2a!E68</f>
        <v>4000</v>
      </c>
      <c r="F153" s="21">
        <f>2a!F68</f>
        <v>4500</v>
      </c>
      <c r="G153" s="157">
        <f>F153</f>
        <v>4500</v>
      </c>
      <c r="H153" s="157"/>
      <c r="I153" s="121"/>
      <c r="J153" s="121"/>
      <c r="K153" s="121"/>
      <c r="L153" s="121"/>
      <c r="M153" s="101"/>
    </row>
    <row r="154" spans="1:13" ht="12.75" customHeight="1">
      <c r="A154" s="132"/>
      <c r="B154" s="134"/>
      <c r="C154" s="7">
        <v>4010</v>
      </c>
      <c r="D154" s="129" t="s">
        <v>184</v>
      </c>
      <c r="E154" s="21">
        <f>2a!E69</f>
        <v>420700</v>
      </c>
      <c r="F154" s="21">
        <f>2a!F69</f>
        <v>439450</v>
      </c>
      <c r="G154" s="157">
        <f>F154</f>
        <v>439450</v>
      </c>
      <c r="H154" s="157">
        <f>G154</f>
        <v>439450</v>
      </c>
      <c r="I154" s="121"/>
      <c r="J154" s="121"/>
      <c r="K154" s="121"/>
      <c r="L154" s="121"/>
      <c r="M154" s="101"/>
    </row>
    <row r="155" spans="1:13" ht="12.75" customHeight="1">
      <c r="A155" s="132"/>
      <c r="B155" s="134"/>
      <c r="C155" s="7">
        <v>4040</v>
      </c>
      <c r="D155" s="129" t="s">
        <v>192</v>
      </c>
      <c r="E155" s="21">
        <f>2a!E70</f>
        <v>32600</v>
      </c>
      <c r="F155" s="21">
        <f>2a!F70</f>
        <v>35000</v>
      </c>
      <c r="G155" s="157">
        <f>F155</f>
        <v>35000</v>
      </c>
      <c r="H155" s="157">
        <f>G155</f>
        <v>35000</v>
      </c>
      <c r="I155" s="121"/>
      <c r="J155" s="121"/>
      <c r="K155" s="121"/>
      <c r="L155" s="121"/>
      <c r="M155" s="101"/>
    </row>
    <row r="156" spans="1:256" s="117" customFormat="1" ht="12.75" customHeight="1">
      <c r="A156" s="132"/>
      <c r="B156" s="134"/>
      <c r="C156" s="7">
        <v>4110</v>
      </c>
      <c r="D156" s="129" t="s">
        <v>186</v>
      </c>
      <c r="E156" s="21">
        <f>2a!E71</f>
        <v>80600</v>
      </c>
      <c r="F156" s="21">
        <f>2a!F71</f>
        <v>78000</v>
      </c>
      <c r="G156" s="157">
        <f>F156</f>
        <v>78000</v>
      </c>
      <c r="H156" s="157">
        <f>G156</f>
        <v>78000</v>
      </c>
      <c r="I156" s="131"/>
      <c r="J156" s="131"/>
      <c r="K156" s="131"/>
      <c r="L156" s="131"/>
      <c r="M156" s="116"/>
      <c r="IK156" s="2"/>
      <c r="IL156" s="2"/>
      <c r="IM156"/>
      <c r="IN156"/>
      <c r="IO156"/>
      <c r="IP156"/>
      <c r="IQ156"/>
      <c r="IR156"/>
      <c r="IS156"/>
      <c r="IT156"/>
      <c r="IU156"/>
      <c r="IV156"/>
    </row>
    <row r="157" spans="1:13" ht="12.75" customHeight="1">
      <c r="A157" s="132"/>
      <c r="B157" s="134"/>
      <c r="C157" s="7">
        <v>4120</v>
      </c>
      <c r="D157" s="129" t="s">
        <v>187</v>
      </c>
      <c r="E157" s="21">
        <f>2a!E72</f>
        <v>11500</v>
      </c>
      <c r="F157" s="21">
        <f>2a!F72</f>
        <v>12600</v>
      </c>
      <c r="G157" s="157">
        <f>F157</f>
        <v>12600</v>
      </c>
      <c r="H157" s="157">
        <f>G157</f>
        <v>12600</v>
      </c>
      <c r="I157" s="121"/>
      <c r="J157" s="121"/>
      <c r="K157" s="121"/>
      <c r="L157" s="121"/>
      <c r="M157" s="101"/>
    </row>
    <row r="158" spans="1:13" ht="12.75" customHeight="1">
      <c r="A158" s="132"/>
      <c r="B158" s="134"/>
      <c r="C158" s="7">
        <v>4210</v>
      </c>
      <c r="D158" s="129" t="s">
        <v>170</v>
      </c>
      <c r="E158" s="21">
        <f>2a!E73</f>
        <v>30000</v>
      </c>
      <c r="F158" s="21">
        <f>2a!F73</f>
        <v>34500</v>
      </c>
      <c r="G158" s="157">
        <f>F158</f>
        <v>34500</v>
      </c>
      <c r="H158" s="157"/>
      <c r="I158" s="121"/>
      <c r="J158" s="121"/>
      <c r="K158" s="121"/>
      <c r="L158" s="121"/>
      <c r="M158" s="101"/>
    </row>
    <row r="159" spans="1:13" ht="12.75" customHeight="1">
      <c r="A159" s="132"/>
      <c r="B159" s="134"/>
      <c r="C159" s="7">
        <v>4240</v>
      </c>
      <c r="D159" s="129" t="s">
        <v>216</v>
      </c>
      <c r="E159" s="21">
        <f>2a!E74</f>
        <v>1000</v>
      </c>
      <c r="F159" s="21">
        <f>2a!F74</f>
        <v>9000</v>
      </c>
      <c r="G159" s="157">
        <f>F159</f>
        <v>9000</v>
      </c>
      <c r="H159" s="157"/>
      <c r="I159" s="121"/>
      <c r="J159" s="121"/>
      <c r="K159" s="121"/>
      <c r="L159" s="121"/>
      <c r="M159" s="101"/>
    </row>
    <row r="160" spans="1:13" ht="12.75" customHeight="1">
      <c r="A160" s="132"/>
      <c r="B160" s="134"/>
      <c r="C160" s="7">
        <v>4260</v>
      </c>
      <c r="D160" s="129" t="s">
        <v>199</v>
      </c>
      <c r="E160" s="21">
        <f>2a!E75</f>
        <v>6000</v>
      </c>
      <c r="F160" s="21">
        <f>2a!F75</f>
        <v>6500</v>
      </c>
      <c r="G160" s="157">
        <f>F160</f>
        <v>6500</v>
      </c>
      <c r="H160" s="157"/>
      <c r="I160" s="121"/>
      <c r="J160" s="121"/>
      <c r="K160" s="121"/>
      <c r="L160" s="121"/>
      <c r="M160" s="101"/>
    </row>
    <row r="161" spans="1:13" ht="12.75" customHeight="1">
      <c r="A161" s="132"/>
      <c r="B161" s="134"/>
      <c r="C161" s="124">
        <v>4270</v>
      </c>
      <c r="D161" s="129" t="s">
        <v>217</v>
      </c>
      <c r="E161" s="21">
        <f>2a!E76</f>
        <v>20000</v>
      </c>
      <c r="F161" s="21">
        <f>2a!F76</f>
        <v>30000</v>
      </c>
      <c r="G161" s="157">
        <f>F161</f>
        <v>30000</v>
      </c>
      <c r="H161" s="157"/>
      <c r="I161" s="121"/>
      <c r="J161" s="121"/>
      <c r="K161" s="121"/>
      <c r="L161" s="121"/>
      <c r="M161" s="101"/>
    </row>
    <row r="162" spans="1:13" ht="12.75" customHeight="1">
      <c r="A162" s="132"/>
      <c r="B162" s="134"/>
      <c r="C162" s="124">
        <v>4280</v>
      </c>
      <c r="D162" s="129" t="s">
        <v>218</v>
      </c>
      <c r="E162" s="21">
        <f>2a!E77</f>
        <v>0</v>
      </c>
      <c r="F162" s="21">
        <f>2a!F77</f>
        <v>1000</v>
      </c>
      <c r="G162" s="157">
        <f>F162</f>
        <v>1000</v>
      </c>
      <c r="H162" s="157"/>
      <c r="I162" s="121"/>
      <c r="J162" s="121"/>
      <c r="K162" s="121"/>
      <c r="L162" s="121"/>
      <c r="M162" s="101"/>
    </row>
    <row r="163" spans="1:13" ht="12.75" customHeight="1">
      <c r="A163" s="132"/>
      <c r="B163" s="134"/>
      <c r="C163" s="7">
        <v>4300</v>
      </c>
      <c r="D163" s="129" t="s">
        <v>190</v>
      </c>
      <c r="E163" s="21">
        <f>2a!E78</f>
        <v>15000</v>
      </c>
      <c r="F163" s="21">
        <f>2a!F78</f>
        <v>11000</v>
      </c>
      <c r="G163" s="157">
        <f>F163</f>
        <v>11000</v>
      </c>
      <c r="H163" s="157"/>
      <c r="I163" s="121"/>
      <c r="J163" s="121"/>
      <c r="K163" s="121"/>
      <c r="L163" s="121"/>
      <c r="M163" s="101"/>
    </row>
    <row r="164" spans="1:13" ht="12.75" customHeight="1">
      <c r="A164" s="132"/>
      <c r="B164" s="134"/>
      <c r="C164" s="124">
        <v>4350</v>
      </c>
      <c r="D164" s="129" t="s">
        <v>200</v>
      </c>
      <c r="E164" s="21">
        <f>2a!E79</f>
        <v>1000</v>
      </c>
      <c r="F164" s="21">
        <f>2a!F79</f>
        <v>1000</v>
      </c>
      <c r="G164" s="157">
        <f>F164</f>
        <v>1000</v>
      </c>
      <c r="H164" s="157"/>
      <c r="I164" s="121"/>
      <c r="J164" s="121"/>
      <c r="K164" s="121"/>
      <c r="L164" s="121"/>
      <c r="M164" s="101"/>
    </row>
    <row r="165" spans="1:13" ht="12.75" customHeight="1">
      <c r="A165" s="132"/>
      <c r="B165" s="134"/>
      <c r="C165" s="124">
        <v>4370</v>
      </c>
      <c r="D165" s="129" t="s">
        <v>202</v>
      </c>
      <c r="E165" s="21">
        <f>2a!E80</f>
        <v>2000</v>
      </c>
      <c r="F165" s="21">
        <f>2a!F80</f>
        <v>2000</v>
      </c>
      <c r="G165" s="157">
        <f>F165</f>
        <v>2000</v>
      </c>
      <c r="H165" s="157"/>
      <c r="I165" s="121"/>
      <c r="J165" s="121"/>
      <c r="K165" s="121"/>
      <c r="L165" s="121"/>
      <c r="M165" s="101"/>
    </row>
    <row r="166" spans="1:13" ht="12.75" customHeight="1">
      <c r="A166" s="132"/>
      <c r="B166" s="134"/>
      <c r="C166" s="7">
        <v>4410</v>
      </c>
      <c r="D166" s="129" t="s">
        <v>195</v>
      </c>
      <c r="E166" s="21">
        <f>2a!E81</f>
        <v>2500</v>
      </c>
      <c r="F166" s="21">
        <f>2a!F81</f>
        <v>3000</v>
      </c>
      <c r="G166" s="157">
        <f>F166</f>
        <v>3000</v>
      </c>
      <c r="H166" s="157"/>
      <c r="I166" s="121"/>
      <c r="J166" s="121"/>
      <c r="K166" s="121"/>
      <c r="L166" s="121"/>
      <c r="M166" s="101"/>
    </row>
    <row r="167" spans="1:13" ht="12.75" customHeight="1">
      <c r="A167" s="132"/>
      <c r="B167" s="134"/>
      <c r="C167" s="7">
        <v>4430</v>
      </c>
      <c r="D167" s="129" t="s">
        <v>171</v>
      </c>
      <c r="E167" s="21">
        <f>2a!E82</f>
        <v>500</v>
      </c>
      <c r="F167" s="21">
        <f>2a!F82</f>
        <v>500</v>
      </c>
      <c r="G167" s="157">
        <f>F167</f>
        <v>500</v>
      </c>
      <c r="H167" s="157"/>
      <c r="I167" s="121"/>
      <c r="J167" s="121"/>
      <c r="K167" s="121"/>
      <c r="L167" s="121"/>
      <c r="M167" s="101"/>
    </row>
    <row r="168" spans="1:13" ht="12.75" customHeight="1">
      <c r="A168" s="132"/>
      <c r="B168" s="134"/>
      <c r="C168" s="7">
        <v>4440</v>
      </c>
      <c r="D168" s="129" t="s">
        <v>189</v>
      </c>
      <c r="E168" s="21">
        <f>2a!E83</f>
        <v>26650</v>
      </c>
      <c r="F168" s="21">
        <f>2a!F83</f>
        <v>28830</v>
      </c>
      <c r="G168" s="157">
        <f>F168</f>
        <v>28830</v>
      </c>
      <c r="H168" s="157"/>
      <c r="I168" s="121"/>
      <c r="J168" s="121"/>
      <c r="K168" s="121"/>
      <c r="L168" s="121"/>
      <c r="M168" s="101"/>
    </row>
    <row r="169" spans="1:13" ht="24.75">
      <c r="A169" s="132"/>
      <c r="B169" s="134"/>
      <c r="C169" s="124">
        <v>4740</v>
      </c>
      <c r="D169" s="20" t="s">
        <v>204</v>
      </c>
      <c r="E169" s="21">
        <f>2a!E84</f>
        <v>2000</v>
      </c>
      <c r="F169" s="21">
        <f>2a!F84</f>
        <v>2000</v>
      </c>
      <c r="G169" s="157">
        <f>F169</f>
        <v>2000</v>
      </c>
      <c r="H169" s="157"/>
      <c r="I169" s="121"/>
      <c r="J169" s="121"/>
      <c r="K169" s="121"/>
      <c r="L169" s="121"/>
      <c r="M169" s="101"/>
    </row>
    <row r="170" spans="1:256" s="117" customFormat="1" ht="12.75" customHeight="1">
      <c r="A170" s="132"/>
      <c r="B170" s="134"/>
      <c r="C170" s="124">
        <v>4750</v>
      </c>
      <c r="D170" s="20" t="s">
        <v>205</v>
      </c>
      <c r="E170" s="21">
        <f>2a!E85</f>
        <v>2000</v>
      </c>
      <c r="F170" s="21">
        <f>2a!F85</f>
        <v>2000</v>
      </c>
      <c r="G170" s="157">
        <f>F170</f>
        <v>2000</v>
      </c>
      <c r="H170" s="157"/>
      <c r="I170" s="131"/>
      <c r="J170" s="131"/>
      <c r="K170" s="131"/>
      <c r="L170" s="131"/>
      <c r="M170" s="116"/>
      <c r="IK170" s="2"/>
      <c r="IL170" s="2"/>
      <c r="IM170"/>
      <c r="IN170"/>
      <c r="IO170"/>
      <c r="IP170"/>
      <c r="IQ170"/>
      <c r="IR170"/>
      <c r="IS170"/>
      <c r="IT170"/>
      <c r="IU170"/>
      <c r="IV170"/>
    </row>
    <row r="171" spans="1:256" s="117" customFormat="1" ht="12.75" customHeight="1">
      <c r="A171" s="132"/>
      <c r="B171" s="134"/>
      <c r="C171" s="126">
        <v>6050</v>
      </c>
      <c r="D171" s="119" t="s">
        <v>165</v>
      </c>
      <c r="E171" s="164">
        <f>2a!E86</f>
        <v>0</v>
      </c>
      <c r="F171" s="164">
        <f>2a!F86</f>
        <v>15000</v>
      </c>
      <c r="G171" s="157"/>
      <c r="H171" s="157"/>
      <c r="I171" s="131"/>
      <c r="J171" s="131"/>
      <c r="K171" s="131"/>
      <c r="L171" s="121">
        <f>F171</f>
        <v>15000</v>
      </c>
      <c r="M171" s="116"/>
      <c r="IK171" s="2"/>
      <c r="IL171" s="2"/>
      <c r="IM171"/>
      <c r="IN171"/>
      <c r="IO171"/>
      <c r="IP171"/>
      <c r="IQ171"/>
      <c r="IR171"/>
      <c r="IS171"/>
      <c r="IT171"/>
      <c r="IU171"/>
      <c r="IV171"/>
    </row>
    <row r="172" spans="1:13" ht="12.75" customHeight="1">
      <c r="A172" s="132"/>
      <c r="B172" s="83">
        <v>80113</v>
      </c>
      <c r="C172" s="56" t="s">
        <v>221</v>
      </c>
      <c r="D172" s="56"/>
      <c r="E172" s="17">
        <f>SUM(E173:E180)</f>
        <v>215570</v>
      </c>
      <c r="F172" s="17">
        <f>SUM(F173:F180)</f>
        <v>215661</v>
      </c>
      <c r="G172" s="123">
        <f>SUM(G173:G180)</f>
        <v>215661</v>
      </c>
      <c r="H172" s="123">
        <f>SUM(H173:H180)</f>
        <v>16670</v>
      </c>
      <c r="I172" s="123">
        <f>SUM(I173:I180)</f>
        <v>0</v>
      </c>
      <c r="J172" s="123">
        <f>SUM(J173:J180)</f>
        <v>0</v>
      </c>
      <c r="K172" s="123">
        <f>SUM(K173:K180)</f>
        <v>0</v>
      </c>
      <c r="L172" s="123">
        <f>SUM(L173:L180)</f>
        <v>0</v>
      </c>
      <c r="M172" s="101"/>
    </row>
    <row r="173" spans="1:13" ht="12.75" customHeight="1">
      <c r="A173" s="132"/>
      <c r="B173" s="165"/>
      <c r="C173" s="7">
        <v>4010</v>
      </c>
      <c r="D173" s="129" t="s">
        <v>184</v>
      </c>
      <c r="E173" s="21">
        <f>2a!E88</f>
        <v>11500</v>
      </c>
      <c r="F173" s="21">
        <f>2a!F88</f>
        <v>13500</v>
      </c>
      <c r="G173" s="157">
        <f>F173</f>
        <v>13500</v>
      </c>
      <c r="H173" s="157">
        <f>G173</f>
        <v>13500</v>
      </c>
      <c r="I173" s="121"/>
      <c r="J173" s="121"/>
      <c r="K173" s="121"/>
      <c r="L173" s="121"/>
      <c r="M173" s="101"/>
    </row>
    <row r="174" spans="1:13" ht="12.75" customHeight="1">
      <c r="A174" s="132"/>
      <c r="B174" s="165"/>
      <c r="C174" s="7">
        <v>4040</v>
      </c>
      <c r="D174" s="129" t="s">
        <v>192</v>
      </c>
      <c r="E174" s="21">
        <f>2a!E89</f>
        <v>2540</v>
      </c>
      <c r="F174" s="21">
        <f>2a!F89</f>
        <v>800</v>
      </c>
      <c r="G174" s="157">
        <f>F174</f>
        <v>800</v>
      </c>
      <c r="H174" s="157">
        <f>G174</f>
        <v>800</v>
      </c>
      <c r="I174" s="121"/>
      <c r="J174" s="121"/>
      <c r="K174" s="121"/>
      <c r="L174" s="121"/>
      <c r="M174" s="101"/>
    </row>
    <row r="175" spans="1:13" ht="12.75" customHeight="1">
      <c r="A175" s="132"/>
      <c r="B175" s="165"/>
      <c r="C175" s="7">
        <v>4110</v>
      </c>
      <c r="D175" s="129" t="s">
        <v>186</v>
      </c>
      <c r="E175" s="21">
        <f>2a!E90</f>
        <v>4120</v>
      </c>
      <c r="F175" s="21">
        <f>2a!F90</f>
        <v>2040</v>
      </c>
      <c r="G175" s="157">
        <f>F175</f>
        <v>2040</v>
      </c>
      <c r="H175" s="157">
        <f>G175</f>
        <v>2040</v>
      </c>
      <c r="I175" s="121"/>
      <c r="J175" s="121"/>
      <c r="K175" s="121"/>
      <c r="L175" s="121"/>
      <c r="M175" s="101"/>
    </row>
    <row r="176" spans="1:13" ht="12.75" customHeight="1">
      <c r="A176" s="132"/>
      <c r="B176" s="165"/>
      <c r="C176" s="7">
        <v>4120</v>
      </c>
      <c r="D176" s="129" t="s">
        <v>187</v>
      </c>
      <c r="E176" s="21">
        <f>2a!E91</f>
        <v>590</v>
      </c>
      <c r="F176" s="21">
        <f>2a!F91</f>
        <v>330</v>
      </c>
      <c r="G176" s="157">
        <f>F176</f>
        <v>330</v>
      </c>
      <c r="H176" s="157">
        <f>G176</f>
        <v>330</v>
      </c>
      <c r="I176" s="121"/>
      <c r="J176" s="121"/>
      <c r="K176" s="121"/>
      <c r="L176" s="121"/>
      <c r="M176" s="101"/>
    </row>
    <row r="177" spans="1:13" ht="12.75" customHeight="1">
      <c r="A177" s="132"/>
      <c r="B177" s="165"/>
      <c r="C177" s="7">
        <v>4210</v>
      </c>
      <c r="D177" s="129" t="s">
        <v>170</v>
      </c>
      <c r="E177" s="21">
        <f>2a!E92</f>
        <v>15000</v>
      </c>
      <c r="F177" s="21">
        <f>2a!F92</f>
        <v>15000</v>
      </c>
      <c r="G177" s="157">
        <f>F177</f>
        <v>15000</v>
      </c>
      <c r="H177" s="157"/>
      <c r="I177" s="121"/>
      <c r="J177" s="121"/>
      <c r="K177" s="121"/>
      <c r="L177" s="121"/>
      <c r="M177" s="101"/>
    </row>
    <row r="178" spans="1:13" ht="12.75" customHeight="1">
      <c r="A178" s="132"/>
      <c r="B178" s="165"/>
      <c r="C178" s="7">
        <v>4300</v>
      </c>
      <c r="D178" s="129" t="s">
        <v>190</v>
      </c>
      <c r="E178" s="21">
        <f>2a!E93</f>
        <v>177000</v>
      </c>
      <c r="F178" s="21">
        <f>2a!F93</f>
        <v>180000</v>
      </c>
      <c r="G178" s="157">
        <f>F178</f>
        <v>180000</v>
      </c>
      <c r="H178" s="157"/>
      <c r="I178" s="121"/>
      <c r="J178" s="121"/>
      <c r="K178" s="121"/>
      <c r="L178" s="121"/>
      <c r="M178" s="101"/>
    </row>
    <row r="179" spans="1:13" ht="12.75" customHeight="1">
      <c r="A179" s="132"/>
      <c r="B179" s="165"/>
      <c r="C179" s="7">
        <v>4430</v>
      </c>
      <c r="D179" s="129" t="s">
        <v>171</v>
      </c>
      <c r="E179" s="21">
        <f>2a!E94</f>
        <v>3000</v>
      </c>
      <c r="F179" s="21">
        <f>2a!F94</f>
        <v>3000</v>
      </c>
      <c r="G179" s="157">
        <f>F179</f>
        <v>3000</v>
      </c>
      <c r="H179" s="157"/>
      <c r="I179" s="121"/>
      <c r="J179" s="121"/>
      <c r="K179" s="121"/>
      <c r="L179" s="121"/>
      <c r="M179" s="101"/>
    </row>
    <row r="180" spans="1:13" ht="12.75" customHeight="1">
      <c r="A180" s="132"/>
      <c r="B180" s="165"/>
      <c r="C180" s="166">
        <v>4440</v>
      </c>
      <c r="D180" s="167" t="s">
        <v>189</v>
      </c>
      <c r="E180" s="21">
        <f>2a!E95</f>
        <v>1820</v>
      </c>
      <c r="F180" s="21">
        <f>2a!F95</f>
        <v>991</v>
      </c>
      <c r="G180" s="157">
        <f>F180</f>
        <v>991</v>
      </c>
      <c r="H180" s="157"/>
      <c r="I180" s="121"/>
      <c r="J180" s="121"/>
      <c r="K180" s="121"/>
      <c r="L180" s="121"/>
      <c r="M180" s="101"/>
    </row>
    <row r="181" spans="1:13" ht="12.75" customHeight="1">
      <c r="A181" s="132"/>
      <c r="B181" s="55">
        <v>80146</v>
      </c>
      <c r="C181" s="56" t="s">
        <v>222</v>
      </c>
      <c r="D181" s="56"/>
      <c r="E181" s="154">
        <f>SUM(E182:E184)</f>
        <v>10000</v>
      </c>
      <c r="F181" s="154">
        <f>SUM(F182:F184)</f>
        <v>10000</v>
      </c>
      <c r="G181" s="155">
        <f>SUM(G182:G184)</f>
        <v>10000</v>
      </c>
      <c r="H181" s="155">
        <f>SUM(H182:H184)</f>
        <v>0</v>
      </c>
      <c r="I181" s="155">
        <f>SUM(I182:I184)</f>
        <v>0</v>
      </c>
      <c r="J181" s="156">
        <f>SUM(J182:J184)</f>
        <v>0</v>
      </c>
      <c r="K181" s="156">
        <f>SUM(K182:K184)</f>
        <v>0</v>
      </c>
      <c r="L181" s="156">
        <f>SUM(L182:L184)</f>
        <v>0</v>
      </c>
      <c r="M181" s="101"/>
    </row>
    <row r="182" spans="1:13" ht="12.75" customHeight="1">
      <c r="A182" s="132"/>
      <c r="B182" s="125"/>
      <c r="C182" s="166">
        <v>4210</v>
      </c>
      <c r="D182" s="167" t="s">
        <v>170</v>
      </c>
      <c r="E182" s="21">
        <f>2a!E97</f>
        <v>1250</v>
      </c>
      <c r="F182" s="21">
        <f>2a!F97</f>
        <v>2000</v>
      </c>
      <c r="G182" s="157">
        <f>F182</f>
        <v>2000</v>
      </c>
      <c r="H182" s="157"/>
      <c r="I182" s="121"/>
      <c r="J182" s="121"/>
      <c r="K182" s="121"/>
      <c r="L182" s="121"/>
      <c r="M182" s="101"/>
    </row>
    <row r="183" spans="1:13" ht="12.75" customHeight="1">
      <c r="A183" s="132"/>
      <c r="B183" s="168"/>
      <c r="C183" s="7">
        <v>4410</v>
      </c>
      <c r="D183" s="129" t="s">
        <v>195</v>
      </c>
      <c r="E183" s="21">
        <f>2a!E98</f>
        <v>1000</v>
      </c>
      <c r="F183" s="21">
        <f>2a!F98</f>
        <v>3000</v>
      </c>
      <c r="G183" s="157">
        <f>F183</f>
        <v>3000</v>
      </c>
      <c r="H183" s="157"/>
      <c r="I183" s="121"/>
      <c r="J183" s="121"/>
      <c r="K183" s="121"/>
      <c r="L183" s="121"/>
      <c r="M183" s="101"/>
    </row>
    <row r="184" spans="1:13" ht="12.75" customHeight="1">
      <c r="A184" s="132"/>
      <c r="B184" s="140"/>
      <c r="C184" s="124">
        <v>4700</v>
      </c>
      <c r="D184" s="129" t="s">
        <v>203</v>
      </c>
      <c r="E184" s="21">
        <f>2a!E99</f>
        <v>7750</v>
      </c>
      <c r="F184" s="21">
        <f>2a!F99</f>
        <v>5000</v>
      </c>
      <c r="G184" s="157">
        <f>F184</f>
        <v>5000</v>
      </c>
      <c r="H184" s="157"/>
      <c r="I184" s="121"/>
      <c r="J184" s="121"/>
      <c r="K184" s="121"/>
      <c r="L184" s="121"/>
      <c r="M184" s="101"/>
    </row>
    <row r="185" spans="1:13" ht="12.75" customHeight="1">
      <c r="A185" s="132"/>
      <c r="B185" s="87">
        <v>80195</v>
      </c>
      <c r="C185" s="88" t="s">
        <v>23</v>
      </c>
      <c r="D185" s="88"/>
      <c r="E185" s="154">
        <f>SUM(E186:E187)</f>
        <v>18953</v>
      </c>
      <c r="F185" s="154">
        <f>SUM(F186:F187)</f>
        <v>2000</v>
      </c>
      <c r="G185" s="155">
        <f>SUM(G186:G187)</f>
        <v>2000</v>
      </c>
      <c r="H185" s="155">
        <f>SUM(H186:H187)</f>
        <v>0</v>
      </c>
      <c r="I185" s="155">
        <f>SUM(I186:I187)</f>
        <v>0</v>
      </c>
      <c r="J185" s="156">
        <f>SUM(J186:J187)</f>
        <v>0</v>
      </c>
      <c r="K185" s="156">
        <f>SUM(K186:K187)</f>
        <v>0</v>
      </c>
      <c r="L185" s="156">
        <f>SUM(L186:L187)</f>
        <v>0</v>
      </c>
      <c r="M185" s="101"/>
    </row>
    <row r="186" spans="1:13" ht="12.75" customHeight="1">
      <c r="A186" s="132"/>
      <c r="B186" s="169"/>
      <c r="C186" s="7">
        <v>4300</v>
      </c>
      <c r="D186" s="129" t="s">
        <v>190</v>
      </c>
      <c r="E186" s="21">
        <f>2a!E102</f>
        <v>16953</v>
      </c>
      <c r="F186" s="21">
        <f>2a!F102</f>
        <v>0</v>
      </c>
      <c r="G186" s="157">
        <f>F186</f>
        <v>0</v>
      </c>
      <c r="H186" s="155"/>
      <c r="I186" s="121"/>
      <c r="J186" s="121"/>
      <c r="K186" s="121"/>
      <c r="L186" s="121"/>
      <c r="M186" s="101"/>
    </row>
    <row r="187" spans="1:13" ht="12.75" customHeight="1">
      <c r="A187" s="161"/>
      <c r="B187" s="170"/>
      <c r="C187" s="166">
        <v>4440</v>
      </c>
      <c r="D187" s="167" t="s">
        <v>189</v>
      </c>
      <c r="E187" s="21">
        <f>2a!E103</f>
        <v>2000</v>
      </c>
      <c r="F187" s="21">
        <f>2a!F103</f>
        <v>2000</v>
      </c>
      <c r="G187" s="157">
        <f>F187</f>
        <v>2000</v>
      </c>
      <c r="H187" s="157"/>
      <c r="I187" s="121"/>
      <c r="J187" s="121"/>
      <c r="K187" s="121"/>
      <c r="L187" s="121"/>
      <c r="M187" s="101"/>
    </row>
    <row r="188" spans="1:256" s="114" customFormat="1" ht="15">
      <c r="A188" s="79">
        <v>851</v>
      </c>
      <c r="B188" s="80" t="s">
        <v>123</v>
      </c>
      <c r="C188" s="80"/>
      <c r="D188" s="80"/>
      <c r="E188" s="112">
        <f>SUM(E189)</f>
        <v>40000</v>
      </c>
      <c r="F188" s="112">
        <f>SUM(F189)</f>
        <v>40000</v>
      </c>
      <c r="G188" s="131">
        <f>SUM(G189)</f>
        <v>39500</v>
      </c>
      <c r="H188" s="131">
        <f>SUM(H189)</f>
        <v>12500</v>
      </c>
      <c r="I188" s="131">
        <f>SUM(I189)</f>
        <v>0</v>
      </c>
      <c r="J188" s="131">
        <f>SUM(J189)</f>
        <v>0</v>
      </c>
      <c r="K188" s="131">
        <f>SUM(K189)</f>
        <v>0</v>
      </c>
      <c r="L188" s="131">
        <f>SUM(L189)</f>
        <v>0</v>
      </c>
      <c r="M188" s="113"/>
      <c r="IK188" s="2"/>
      <c r="IL188" s="2"/>
      <c r="IM188"/>
      <c r="IN188"/>
      <c r="IO188"/>
      <c r="IP188"/>
      <c r="IQ188"/>
      <c r="IR188"/>
      <c r="IS188"/>
      <c r="IT188"/>
      <c r="IU188"/>
      <c r="IV188"/>
    </row>
    <row r="189" spans="1:256" s="117" customFormat="1" ht="12.75" customHeight="1">
      <c r="A189" s="132"/>
      <c r="B189" s="55">
        <v>85154</v>
      </c>
      <c r="C189" s="56" t="s">
        <v>125</v>
      </c>
      <c r="D189" s="56"/>
      <c r="E189" s="17">
        <f>SUM(E190:E198)</f>
        <v>40000</v>
      </c>
      <c r="F189" s="17">
        <f>SUM(F190:F198)</f>
        <v>40000</v>
      </c>
      <c r="G189" s="123">
        <f>SUM(G190:G197)</f>
        <v>39500</v>
      </c>
      <c r="H189" s="123">
        <f>SUM(H190:H197)</f>
        <v>12500</v>
      </c>
      <c r="I189" s="123">
        <f>SUM(I190:I197)</f>
        <v>0</v>
      </c>
      <c r="J189" s="123">
        <f>SUM(J190:J197)</f>
        <v>0</v>
      </c>
      <c r="K189" s="123">
        <f>SUM(K190:K197)</f>
        <v>0</v>
      </c>
      <c r="L189" s="123">
        <f>SUM(L190:L197)</f>
        <v>0</v>
      </c>
      <c r="M189" s="116"/>
      <c r="IK189" s="2"/>
      <c r="IL189" s="2"/>
      <c r="IM189"/>
      <c r="IN189"/>
      <c r="IO189"/>
      <c r="IP189"/>
      <c r="IQ189"/>
      <c r="IR189"/>
      <c r="IS189"/>
      <c r="IT189"/>
      <c r="IU189"/>
      <c r="IV189"/>
    </row>
    <row r="190" spans="1:13" ht="12.75" customHeight="1">
      <c r="A190" s="132"/>
      <c r="B190" s="134"/>
      <c r="C190" s="7">
        <v>3030</v>
      </c>
      <c r="D190" s="129" t="s">
        <v>194</v>
      </c>
      <c r="E190" s="58">
        <v>3000</v>
      </c>
      <c r="F190" s="58">
        <v>3000</v>
      </c>
      <c r="G190" s="121">
        <f>F190</f>
        <v>3000</v>
      </c>
      <c r="H190" s="121"/>
      <c r="I190" s="121"/>
      <c r="J190" s="121"/>
      <c r="K190" s="121"/>
      <c r="L190" s="121"/>
      <c r="M190" s="101"/>
    </row>
    <row r="191" spans="1:13" ht="12.75" customHeight="1">
      <c r="A191" s="132"/>
      <c r="B191" s="134"/>
      <c r="C191" s="7">
        <v>4010</v>
      </c>
      <c r="D191" s="129" t="s">
        <v>184</v>
      </c>
      <c r="E191" s="58">
        <v>5700</v>
      </c>
      <c r="F191" s="58">
        <v>6800</v>
      </c>
      <c r="G191" s="121">
        <f>F191</f>
        <v>6800</v>
      </c>
      <c r="H191" s="121">
        <f>G191</f>
        <v>6800</v>
      </c>
      <c r="I191" s="121"/>
      <c r="J191" s="121"/>
      <c r="K191" s="121"/>
      <c r="L191" s="121"/>
      <c r="M191" s="101"/>
    </row>
    <row r="192" spans="1:13" ht="12.75" customHeight="1">
      <c r="A192" s="132"/>
      <c r="B192" s="134"/>
      <c r="C192" s="7">
        <v>4110</v>
      </c>
      <c r="D192" s="129" t="s">
        <v>186</v>
      </c>
      <c r="E192" s="58">
        <v>1000</v>
      </c>
      <c r="F192" s="58">
        <v>1500</v>
      </c>
      <c r="G192" s="121">
        <f>F192</f>
        <v>1500</v>
      </c>
      <c r="H192" s="121">
        <f>G192</f>
        <v>1500</v>
      </c>
      <c r="I192" s="121"/>
      <c r="J192" s="121"/>
      <c r="K192" s="121"/>
      <c r="L192" s="121"/>
      <c r="M192" s="101"/>
    </row>
    <row r="193" spans="1:13" ht="12.75" customHeight="1">
      <c r="A193" s="132"/>
      <c r="B193" s="134"/>
      <c r="C193" s="7">
        <v>4120</v>
      </c>
      <c r="D193" s="129" t="s">
        <v>187</v>
      </c>
      <c r="E193" s="58">
        <v>100</v>
      </c>
      <c r="F193" s="58">
        <v>200</v>
      </c>
      <c r="G193" s="121">
        <f>F193</f>
        <v>200</v>
      </c>
      <c r="H193" s="121">
        <f>G193</f>
        <v>200</v>
      </c>
      <c r="I193" s="121"/>
      <c r="J193" s="121"/>
      <c r="K193" s="121"/>
      <c r="L193" s="121"/>
      <c r="M193" s="101"/>
    </row>
    <row r="194" spans="1:13" ht="12.75" customHeight="1">
      <c r="A194" s="132"/>
      <c r="B194" s="134"/>
      <c r="C194" s="78">
        <v>4170</v>
      </c>
      <c r="D194" s="66" t="s">
        <v>169</v>
      </c>
      <c r="E194" s="58">
        <v>4000</v>
      </c>
      <c r="F194" s="58">
        <v>4000</v>
      </c>
      <c r="G194" s="121">
        <f>F194</f>
        <v>4000</v>
      </c>
      <c r="H194" s="121">
        <f>G194</f>
        <v>4000</v>
      </c>
      <c r="I194" s="121"/>
      <c r="J194" s="121"/>
      <c r="K194" s="121"/>
      <c r="L194" s="121"/>
      <c r="M194" s="101"/>
    </row>
    <row r="195" spans="1:13" ht="12.75" customHeight="1">
      <c r="A195" s="132"/>
      <c r="B195" s="134"/>
      <c r="C195" s="7">
        <v>4210</v>
      </c>
      <c r="D195" s="129" t="s">
        <v>170</v>
      </c>
      <c r="E195" s="58">
        <v>9000</v>
      </c>
      <c r="F195" s="58">
        <v>18000</v>
      </c>
      <c r="G195" s="121">
        <f>F195</f>
        <v>18000</v>
      </c>
      <c r="H195" s="121"/>
      <c r="I195" s="121"/>
      <c r="J195" s="121"/>
      <c r="K195" s="121"/>
      <c r="L195" s="121"/>
      <c r="M195" s="101"/>
    </row>
    <row r="196" spans="1:13" ht="12.75" customHeight="1">
      <c r="A196" s="132"/>
      <c r="B196" s="134"/>
      <c r="C196" s="7">
        <v>4300</v>
      </c>
      <c r="D196" s="129" t="s">
        <v>190</v>
      </c>
      <c r="E196" s="58">
        <v>15798</v>
      </c>
      <c r="F196" s="58">
        <v>5000</v>
      </c>
      <c r="G196" s="121">
        <f>F196</f>
        <v>5000</v>
      </c>
      <c r="H196" s="121"/>
      <c r="I196" s="121"/>
      <c r="J196" s="121"/>
      <c r="K196" s="121"/>
      <c r="L196" s="121"/>
      <c r="M196" s="101"/>
    </row>
    <row r="197" spans="1:13" ht="12.75" customHeight="1">
      <c r="A197" s="132"/>
      <c r="B197" s="134"/>
      <c r="C197" s="7">
        <v>4410</v>
      </c>
      <c r="D197" s="129" t="s">
        <v>195</v>
      </c>
      <c r="E197" s="58">
        <v>1000</v>
      </c>
      <c r="F197" s="58">
        <v>1000</v>
      </c>
      <c r="G197" s="121">
        <f>F197</f>
        <v>1000</v>
      </c>
      <c r="H197" s="121"/>
      <c r="I197" s="121"/>
      <c r="J197" s="121"/>
      <c r="K197" s="121"/>
      <c r="L197" s="121"/>
      <c r="M197" s="101"/>
    </row>
    <row r="198" spans="1:13" ht="12.75" customHeight="1">
      <c r="A198" s="161"/>
      <c r="B198" s="140"/>
      <c r="C198" s="7">
        <v>4440</v>
      </c>
      <c r="D198" s="129" t="s">
        <v>189</v>
      </c>
      <c r="E198" s="58">
        <v>402</v>
      </c>
      <c r="F198" s="58">
        <v>500</v>
      </c>
      <c r="G198" s="121">
        <f>F198</f>
        <v>500</v>
      </c>
      <c r="H198" s="121"/>
      <c r="I198" s="121"/>
      <c r="J198" s="121"/>
      <c r="K198" s="121"/>
      <c r="L198" s="121"/>
      <c r="M198" s="101"/>
    </row>
    <row r="199" spans="1:13" ht="13.5">
      <c r="A199" s="79">
        <v>852</v>
      </c>
      <c r="B199" s="80" t="s">
        <v>129</v>
      </c>
      <c r="C199" s="80"/>
      <c r="D199" s="80"/>
      <c r="E199" s="171">
        <f>SUM(E216,E218,E220,E222,E238,E202,E200,E236)</f>
        <v>1734176</v>
      </c>
      <c r="F199" s="171">
        <f>SUM(F216,F218,F220,F222,F238,F202,F200,F236)</f>
        <v>1552597</v>
      </c>
      <c r="G199" s="172">
        <f>SUM(G216,G218,G220,G222,G238,G202,G200,G236)</f>
        <v>1552597</v>
      </c>
      <c r="H199" s="172">
        <f>SUM(H216,H218,H220,H222,H238,H202,H200,H236)</f>
        <v>120140</v>
      </c>
      <c r="I199" s="172">
        <f>SUM(I216,I218,I220,I222,I238,I202,I200,I236)</f>
        <v>0</v>
      </c>
      <c r="J199" s="173">
        <f>SUM(J216,J218,J220,J222,J238,J202,J200,J236)</f>
        <v>0</v>
      </c>
      <c r="K199" s="173">
        <f>SUM(K216,K218,K220,K222,K238,K202,K200,K236)</f>
        <v>0</v>
      </c>
      <c r="L199" s="173">
        <f>SUM(L216,L218,L220,L222,L238,L202,L200,L236)</f>
        <v>0</v>
      </c>
      <c r="M199" s="101"/>
    </row>
    <row r="200" spans="1:13" ht="13.5">
      <c r="A200" s="174"/>
      <c r="B200" s="55">
        <v>85202</v>
      </c>
      <c r="C200" s="56" t="s">
        <v>223</v>
      </c>
      <c r="D200" s="56"/>
      <c r="E200" s="23">
        <f>SUM(E201)</f>
        <v>13000</v>
      </c>
      <c r="F200" s="23">
        <f>SUM(F201)</f>
        <v>16000</v>
      </c>
      <c r="G200" s="155">
        <f>SUM(G201)</f>
        <v>16000</v>
      </c>
      <c r="H200" s="155">
        <f>SUM(H201)</f>
        <v>0</v>
      </c>
      <c r="I200" s="155">
        <f>SUM(I201)</f>
        <v>0</v>
      </c>
      <c r="J200" s="156">
        <f>SUM(J201)</f>
        <v>0</v>
      </c>
      <c r="K200" s="156">
        <f>SUM(K201)</f>
        <v>0</v>
      </c>
      <c r="L200" s="156">
        <f>SUM(L201)</f>
        <v>0</v>
      </c>
      <c r="M200" s="101"/>
    </row>
    <row r="201" spans="1:13" ht="13.5">
      <c r="A201" s="174"/>
      <c r="B201" s="175"/>
      <c r="C201" s="7">
        <v>4300</v>
      </c>
      <c r="D201" s="129" t="s">
        <v>190</v>
      </c>
      <c r="E201" s="176">
        <v>13000</v>
      </c>
      <c r="F201" s="176">
        <v>16000</v>
      </c>
      <c r="G201" s="157">
        <f>F201</f>
        <v>16000</v>
      </c>
      <c r="H201" s="121"/>
      <c r="I201" s="121"/>
      <c r="J201" s="121"/>
      <c r="K201" s="121"/>
      <c r="L201" s="121"/>
      <c r="M201" s="101"/>
    </row>
    <row r="202" spans="1:13" ht="24.75">
      <c r="A202" s="174"/>
      <c r="B202" s="32" t="s">
        <v>130</v>
      </c>
      <c r="C202" s="41" t="s">
        <v>131</v>
      </c>
      <c r="D202" s="41"/>
      <c r="E202" s="34">
        <f>SUM(E203:E215)</f>
        <v>1050000</v>
      </c>
      <c r="F202" s="34">
        <f>SUM(F203:F215)</f>
        <v>999642</v>
      </c>
      <c r="G202" s="34">
        <f>SUM(G203:G215)</f>
        <v>999642</v>
      </c>
      <c r="H202" s="34">
        <f>SUM(H203:H215)</f>
        <v>27460</v>
      </c>
      <c r="I202" s="34">
        <f>SUM(I203:I215)</f>
        <v>0</v>
      </c>
      <c r="J202" s="34">
        <f>SUM(J203:J215)</f>
        <v>0</v>
      </c>
      <c r="K202" s="34">
        <f>SUM(K203:K215)</f>
        <v>0</v>
      </c>
      <c r="L202" s="34">
        <f>SUM(L203:L215)</f>
        <v>0</v>
      </c>
      <c r="M202" s="101"/>
    </row>
    <row r="203" spans="1:13" ht="13.5">
      <c r="A203" s="174"/>
      <c r="B203" s="42"/>
      <c r="C203" s="7">
        <v>3020</v>
      </c>
      <c r="D203" s="129" t="s">
        <v>197</v>
      </c>
      <c r="E203" s="38">
        <v>104</v>
      </c>
      <c r="F203" s="38">
        <v>200</v>
      </c>
      <c r="G203" s="121">
        <f>F203</f>
        <v>200</v>
      </c>
      <c r="H203" s="121"/>
      <c r="I203" s="121"/>
      <c r="J203" s="121"/>
      <c r="K203" s="121"/>
      <c r="L203" s="121"/>
      <c r="M203" s="101"/>
    </row>
    <row r="204" spans="1:13" ht="13.5">
      <c r="A204" s="174"/>
      <c r="B204" s="42"/>
      <c r="C204" s="124">
        <v>3040</v>
      </c>
      <c r="D204" s="158" t="s">
        <v>198</v>
      </c>
      <c r="E204" s="58">
        <v>600</v>
      </c>
      <c r="F204" s="58">
        <v>600</v>
      </c>
      <c r="G204" s="121">
        <f>F204</f>
        <v>600</v>
      </c>
      <c r="H204" s="121"/>
      <c r="I204" s="121"/>
      <c r="J204" s="121"/>
      <c r="K204" s="121"/>
      <c r="L204" s="121"/>
      <c r="M204" s="101"/>
    </row>
    <row r="205" spans="1:13" ht="13.5">
      <c r="A205" s="174"/>
      <c r="B205" s="42"/>
      <c r="C205" s="124">
        <v>3110</v>
      </c>
      <c r="D205" s="129" t="s">
        <v>224</v>
      </c>
      <c r="E205" s="58">
        <f>1050000-E203-E204-E206-E207-E208-E209-E210-E211-E212-E213-E215-E214</f>
        <v>1000376</v>
      </c>
      <c r="F205" s="58">
        <f>995000-(995000*0.03)-10000</f>
        <v>955150</v>
      </c>
      <c r="G205" s="121">
        <f>F205</f>
        <v>955150</v>
      </c>
      <c r="H205" s="121"/>
      <c r="I205" s="121"/>
      <c r="J205" s="121"/>
      <c r="K205" s="121"/>
      <c r="L205" s="121"/>
      <c r="M205" s="101"/>
    </row>
    <row r="206" spans="1:13" ht="13.5">
      <c r="A206" s="174"/>
      <c r="B206" s="42"/>
      <c r="C206" s="7">
        <v>4010</v>
      </c>
      <c r="D206" s="129" t="s">
        <v>184</v>
      </c>
      <c r="E206" s="58">
        <v>19313</v>
      </c>
      <c r="F206" s="58">
        <f>21000+1000</f>
        <v>22000</v>
      </c>
      <c r="G206" s="121">
        <f>F206</f>
        <v>22000</v>
      </c>
      <c r="H206" s="121">
        <f>G206</f>
        <v>22000</v>
      </c>
      <c r="I206" s="121"/>
      <c r="J206" s="121"/>
      <c r="K206" s="121"/>
      <c r="L206" s="121"/>
      <c r="M206" s="101"/>
    </row>
    <row r="207" spans="1:13" ht="13.5">
      <c r="A207" s="174"/>
      <c r="B207" s="42"/>
      <c r="C207" s="7">
        <v>4040</v>
      </c>
      <c r="D207" s="129" t="s">
        <v>192</v>
      </c>
      <c r="E207" s="58">
        <v>1287</v>
      </c>
      <c r="F207" s="58">
        <v>1550</v>
      </c>
      <c r="G207" s="121">
        <f>F207</f>
        <v>1550</v>
      </c>
      <c r="H207" s="121">
        <f>G207</f>
        <v>1550</v>
      </c>
      <c r="I207" s="121"/>
      <c r="J207" s="121"/>
      <c r="K207" s="121"/>
      <c r="L207" s="121"/>
      <c r="M207" s="101"/>
    </row>
    <row r="208" spans="1:13" ht="13.5">
      <c r="A208" s="174"/>
      <c r="B208" s="42"/>
      <c r="C208" s="7">
        <v>4110</v>
      </c>
      <c r="D208" s="129" t="s">
        <v>186</v>
      </c>
      <c r="E208" s="58">
        <v>13300</v>
      </c>
      <c r="F208" s="58">
        <f>4000+10000</f>
        <v>14000</v>
      </c>
      <c r="G208" s="121">
        <f>F208</f>
        <v>14000</v>
      </c>
      <c r="H208" s="121">
        <f>E208-10000</f>
        <v>3300</v>
      </c>
      <c r="I208" s="121"/>
      <c r="J208" s="121"/>
      <c r="K208" s="121"/>
      <c r="L208" s="121"/>
      <c r="M208" s="101"/>
    </row>
    <row r="209" spans="1:13" ht="13.5">
      <c r="A209" s="174"/>
      <c r="B209" s="42"/>
      <c r="C209" s="7">
        <v>4120</v>
      </c>
      <c r="D209" s="129" t="s">
        <v>187</v>
      </c>
      <c r="E209" s="58">
        <f>560+50</f>
        <v>610</v>
      </c>
      <c r="F209" s="58">
        <v>650</v>
      </c>
      <c r="G209" s="121">
        <f>F209</f>
        <v>650</v>
      </c>
      <c r="H209" s="121">
        <f>E209</f>
        <v>610</v>
      </c>
      <c r="I209" s="121"/>
      <c r="J209" s="121"/>
      <c r="K209" s="121"/>
      <c r="L209" s="121"/>
      <c r="M209" s="101"/>
    </row>
    <row r="210" spans="1:13" ht="13.5">
      <c r="A210" s="174"/>
      <c r="B210" s="42"/>
      <c r="C210" s="7">
        <v>4210</v>
      </c>
      <c r="D210" s="129" t="s">
        <v>170</v>
      </c>
      <c r="E210" s="58">
        <v>5500</v>
      </c>
      <c r="F210" s="58">
        <v>1000</v>
      </c>
      <c r="G210" s="121">
        <f>F210</f>
        <v>1000</v>
      </c>
      <c r="H210" s="121"/>
      <c r="I210" s="121"/>
      <c r="J210" s="121"/>
      <c r="K210" s="121"/>
      <c r="L210" s="121"/>
      <c r="M210" s="101"/>
    </row>
    <row r="211" spans="1:13" ht="13.5">
      <c r="A211" s="174"/>
      <c r="B211" s="177"/>
      <c r="C211" s="7">
        <v>4300</v>
      </c>
      <c r="D211" s="129" t="s">
        <v>190</v>
      </c>
      <c r="E211" s="58">
        <v>5000</v>
      </c>
      <c r="F211" s="58">
        <v>1000</v>
      </c>
      <c r="G211" s="121">
        <f>F211</f>
        <v>1000</v>
      </c>
      <c r="H211" s="121"/>
      <c r="I211" s="121"/>
      <c r="J211" s="121"/>
      <c r="K211" s="121"/>
      <c r="L211" s="121"/>
      <c r="M211" s="101"/>
    </row>
    <row r="212" spans="1:13" ht="13.5">
      <c r="A212" s="174"/>
      <c r="B212" s="177"/>
      <c r="C212" s="7">
        <v>4410</v>
      </c>
      <c r="D212" s="129" t="s">
        <v>195</v>
      </c>
      <c r="E212" s="58">
        <v>500</v>
      </c>
      <c r="F212" s="58">
        <v>500</v>
      </c>
      <c r="G212" s="121">
        <f>F212</f>
        <v>500</v>
      </c>
      <c r="H212" s="121"/>
      <c r="I212" s="121"/>
      <c r="J212" s="121"/>
      <c r="K212" s="121"/>
      <c r="L212" s="121"/>
      <c r="M212" s="101"/>
    </row>
    <row r="213" spans="1:13" ht="13.5">
      <c r="A213" s="174"/>
      <c r="B213" s="177"/>
      <c r="C213" s="7">
        <v>4440</v>
      </c>
      <c r="D213" s="129" t="s">
        <v>189</v>
      </c>
      <c r="E213" s="58">
        <v>910</v>
      </c>
      <c r="F213" s="58">
        <v>992</v>
      </c>
      <c r="G213" s="121">
        <f>F213</f>
        <v>992</v>
      </c>
      <c r="H213" s="121"/>
      <c r="I213" s="121"/>
      <c r="J213" s="121"/>
      <c r="K213" s="121"/>
      <c r="L213" s="121"/>
      <c r="M213" s="101"/>
    </row>
    <row r="214" spans="1:13" ht="13.5">
      <c r="A214" s="174"/>
      <c r="B214" s="177"/>
      <c r="C214" s="124">
        <v>4700</v>
      </c>
      <c r="D214" s="129" t="s">
        <v>203</v>
      </c>
      <c r="E214" s="58">
        <v>1000</v>
      </c>
      <c r="F214" s="58">
        <v>500</v>
      </c>
      <c r="G214" s="121">
        <f>F214</f>
        <v>500</v>
      </c>
      <c r="H214" s="121"/>
      <c r="I214" s="121"/>
      <c r="J214" s="121"/>
      <c r="K214" s="121"/>
      <c r="L214" s="121"/>
      <c r="M214" s="101"/>
    </row>
    <row r="215" spans="1:13" ht="13.5">
      <c r="A215" s="174"/>
      <c r="B215" s="178"/>
      <c r="C215" s="124">
        <v>4750</v>
      </c>
      <c r="D215" s="20" t="s">
        <v>205</v>
      </c>
      <c r="E215" s="58">
        <v>1500</v>
      </c>
      <c r="F215" s="58">
        <v>1500</v>
      </c>
      <c r="G215" s="121">
        <f>F215</f>
        <v>1500</v>
      </c>
      <c r="H215" s="121"/>
      <c r="I215" s="121"/>
      <c r="J215" s="121"/>
      <c r="K215" s="121"/>
      <c r="L215" s="121"/>
      <c r="M215" s="101"/>
    </row>
    <row r="216" spans="1:13" ht="24.75">
      <c r="A216" s="179"/>
      <c r="B216" s="15" t="s">
        <v>132</v>
      </c>
      <c r="C216" s="180" t="s">
        <v>133</v>
      </c>
      <c r="D216" s="180"/>
      <c r="E216" s="17">
        <f>SUM(E217)</f>
        <v>5500</v>
      </c>
      <c r="F216" s="17">
        <f>SUM(F217)</f>
        <v>6000</v>
      </c>
      <c r="G216" s="123">
        <f>SUM(G217)</f>
        <v>6000</v>
      </c>
      <c r="H216" s="123">
        <f>SUM(H217)</f>
        <v>0</v>
      </c>
      <c r="I216" s="123">
        <f>SUM(I217)</f>
        <v>0</v>
      </c>
      <c r="J216" s="123">
        <f>SUM(J217)</f>
        <v>0</v>
      </c>
      <c r="K216" s="123">
        <f>SUM(K217)</f>
        <v>0</v>
      </c>
      <c r="L216" s="123">
        <f>SUM(L217)</f>
        <v>0</v>
      </c>
      <c r="M216" s="101"/>
    </row>
    <row r="217" spans="1:13" ht="12.75" customHeight="1">
      <c r="A217" s="179"/>
      <c r="B217" s="25"/>
      <c r="C217" s="181" t="s">
        <v>225</v>
      </c>
      <c r="D217" s="182" t="s">
        <v>226</v>
      </c>
      <c r="E217" s="58">
        <v>5500</v>
      </c>
      <c r="F217" s="58">
        <v>6000</v>
      </c>
      <c r="G217" s="121">
        <f>F217</f>
        <v>6000</v>
      </c>
      <c r="H217" s="121"/>
      <c r="I217" s="121"/>
      <c r="J217" s="121"/>
      <c r="K217" s="121"/>
      <c r="L217" s="121"/>
      <c r="M217" s="101"/>
    </row>
    <row r="218" spans="1:13" ht="12.75" customHeight="1">
      <c r="A218" s="132"/>
      <c r="B218" s="55">
        <v>85214</v>
      </c>
      <c r="C218" s="16" t="s">
        <v>227</v>
      </c>
      <c r="D218" s="16"/>
      <c r="E218" s="154">
        <f>SUM(E219:E219)</f>
        <v>316000</v>
      </c>
      <c r="F218" s="154">
        <f>SUM(F219:F219)</f>
        <v>246000</v>
      </c>
      <c r="G218" s="155">
        <f>SUM(G219:G219)</f>
        <v>246000</v>
      </c>
      <c r="H218" s="155">
        <f>SUM(H219:H219)</f>
        <v>0</v>
      </c>
      <c r="I218" s="155">
        <f>SUM(I219:I219)</f>
        <v>0</v>
      </c>
      <c r="J218" s="156">
        <f>SUM(J219:J219)</f>
        <v>0</v>
      </c>
      <c r="K218" s="156">
        <f>SUM(K219:K219)</f>
        <v>0</v>
      </c>
      <c r="L218" s="156">
        <f>SUM(L219:L219)</f>
        <v>0</v>
      </c>
      <c r="M218" s="101"/>
    </row>
    <row r="219" spans="1:13" ht="12.75" customHeight="1">
      <c r="A219" s="132"/>
      <c r="B219" s="60"/>
      <c r="C219" s="124">
        <v>3110</v>
      </c>
      <c r="D219" s="129" t="s">
        <v>224</v>
      </c>
      <c r="E219" s="58">
        <v>316000</v>
      </c>
      <c r="F219" s="58">
        <f>236000+10000</f>
        <v>246000</v>
      </c>
      <c r="G219" s="121">
        <f>F219</f>
        <v>246000</v>
      </c>
      <c r="H219" s="121"/>
      <c r="I219" s="121"/>
      <c r="J219" s="121"/>
      <c r="K219" s="121"/>
      <c r="L219" s="121"/>
      <c r="M219" s="101"/>
    </row>
    <row r="220" spans="1:13" ht="12.75" customHeight="1">
      <c r="A220" s="132"/>
      <c r="B220" s="183" t="s">
        <v>228</v>
      </c>
      <c r="C220" s="184" t="s">
        <v>229</v>
      </c>
      <c r="D220" s="184"/>
      <c r="E220" s="17">
        <f>SUM(E221)</f>
        <v>110000</v>
      </c>
      <c r="F220" s="17">
        <f>SUM(F221)</f>
        <v>120000</v>
      </c>
      <c r="G220" s="123">
        <f>SUM(G221)</f>
        <v>120000</v>
      </c>
      <c r="H220" s="123">
        <f>SUM(H221)</f>
        <v>0</v>
      </c>
      <c r="I220" s="123">
        <f>SUM(I221)</f>
        <v>0</v>
      </c>
      <c r="J220" s="123">
        <f>SUM(J221)</f>
        <v>0</v>
      </c>
      <c r="K220" s="123">
        <f>SUM(K221)</f>
        <v>0</v>
      </c>
      <c r="L220" s="123">
        <f>SUM(L221)</f>
        <v>0</v>
      </c>
      <c r="M220" s="101"/>
    </row>
    <row r="221" spans="1:13" ht="12.75" customHeight="1">
      <c r="A221" s="132"/>
      <c r="B221" s="185"/>
      <c r="C221" s="124">
        <v>3110</v>
      </c>
      <c r="D221" s="129" t="s">
        <v>224</v>
      </c>
      <c r="E221" s="58">
        <v>110000</v>
      </c>
      <c r="F221" s="58">
        <v>120000</v>
      </c>
      <c r="G221" s="121">
        <f>F221</f>
        <v>120000</v>
      </c>
      <c r="H221" s="121"/>
      <c r="I221" s="121"/>
      <c r="J221" s="121"/>
      <c r="K221" s="121"/>
      <c r="L221" s="121"/>
      <c r="M221" s="101"/>
    </row>
    <row r="222" spans="1:13" ht="12.75" customHeight="1">
      <c r="A222" s="132"/>
      <c r="B222" s="55">
        <v>85219</v>
      </c>
      <c r="C222" s="56" t="s">
        <v>137</v>
      </c>
      <c r="D222" s="56"/>
      <c r="E222" s="154">
        <f>SUM(E223:E235)</f>
        <v>96982</v>
      </c>
      <c r="F222" s="154">
        <f>SUM(F223:F235)</f>
        <v>112955</v>
      </c>
      <c r="G222" s="155">
        <f>SUM(G223:G235)</f>
        <v>112955</v>
      </c>
      <c r="H222" s="155">
        <f>SUM(H223:H235)</f>
        <v>92680</v>
      </c>
      <c r="I222" s="155">
        <f>SUM(I223:I235)</f>
        <v>0</v>
      </c>
      <c r="J222" s="156">
        <f>SUM(J223:J235)</f>
        <v>0</v>
      </c>
      <c r="K222" s="156">
        <f>SUM(K223:K235)</f>
        <v>0</v>
      </c>
      <c r="L222" s="156">
        <f>SUM(L223:L235)</f>
        <v>0</v>
      </c>
      <c r="M222" s="101"/>
    </row>
    <row r="223" spans="1:13" ht="12.75" customHeight="1">
      <c r="A223" s="132"/>
      <c r="B223" s="125"/>
      <c r="C223" s="7">
        <v>3020</v>
      </c>
      <c r="D223" s="129" t="s">
        <v>197</v>
      </c>
      <c r="E223" s="186">
        <v>800</v>
      </c>
      <c r="F223" s="186">
        <v>800</v>
      </c>
      <c r="G223" s="121">
        <f>F223</f>
        <v>800</v>
      </c>
      <c r="H223" s="121"/>
      <c r="I223" s="121"/>
      <c r="J223" s="121"/>
      <c r="K223" s="121"/>
      <c r="L223" s="121"/>
      <c r="M223" s="101"/>
    </row>
    <row r="224" spans="1:13" ht="12.75" customHeight="1">
      <c r="A224" s="132"/>
      <c r="B224" s="125"/>
      <c r="C224" s="124">
        <v>3040</v>
      </c>
      <c r="D224" s="158" t="s">
        <v>198</v>
      </c>
      <c r="E224" s="58">
        <v>1800</v>
      </c>
      <c r="F224" s="58">
        <v>2000</v>
      </c>
      <c r="G224" s="121">
        <f>F224</f>
        <v>2000</v>
      </c>
      <c r="H224" s="121"/>
      <c r="I224" s="121"/>
      <c r="J224" s="121"/>
      <c r="K224" s="121"/>
      <c r="L224" s="121"/>
      <c r="M224" s="101"/>
    </row>
    <row r="225" spans="1:13" ht="12.75" customHeight="1">
      <c r="A225" s="132"/>
      <c r="B225" s="177"/>
      <c r="C225" s="7">
        <v>4010</v>
      </c>
      <c r="D225" s="129" t="s">
        <v>184</v>
      </c>
      <c r="E225" s="58">
        <v>60760</v>
      </c>
      <c r="F225" s="58">
        <f>55200+4000+13500</f>
        <v>72700</v>
      </c>
      <c r="G225" s="121">
        <f>F225</f>
        <v>72700</v>
      </c>
      <c r="H225" s="121">
        <f>F225</f>
        <v>72700</v>
      </c>
      <c r="I225" s="121"/>
      <c r="J225" s="121"/>
      <c r="K225" s="121"/>
      <c r="L225" s="121"/>
      <c r="M225" s="101"/>
    </row>
    <row r="226" spans="1:13" ht="12.75" customHeight="1">
      <c r="A226" s="132"/>
      <c r="B226" s="177"/>
      <c r="C226" s="7">
        <v>4040</v>
      </c>
      <c r="D226" s="129" t="s">
        <v>192</v>
      </c>
      <c r="E226" s="58">
        <v>4600</v>
      </c>
      <c r="F226" s="58">
        <f>4700+480</f>
        <v>5180</v>
      </c>
      <c r="G226" s="121">
        <f>F226</f>
        <v>5180</v>
      </c>
      <c r="H226" s="121">
        <f>F226</f>
        <v>5180</v>
      </c>
      <c r="I226" s="121"/>
      <c r="J226" s="121"/>
      <c r="K226" s="121"/>
      <c r="L226" s="121"/>
      <c r="M226" s="101"/>
    </row>
    <row r="227" spans="1:13" ht="12.75" customHeight="1">
      <c r="A227" s="132"/>
      <c r="B227" s="177"/>
      <c r="C227" s="7">
        <v>4110</v>
      </c>
      <c r="D227" s="129" t="s">
        <v>186</v>
      </c>
      <c r="E227" s="58">
        <v>11750</v>
      </c>
      <c r="F227" s="58">
        <f>10550+2300</f>
        <v>12850</v>
      </c>
      <c r="G227" s="121">
        <f>F227</f>
        <v>12850</v>
      </c>
      <c r="H227" s="121">
        <f>F227</f>
        <v>12850</v>
      </c>
      <c r="I227" s="121"/>
      <c r="J227" s="121"/>
      <c r="K227" s="121"/>
      <c r="L227" s="121"/>
      <c r="M227" s="101"/>
    </row>
    <row r="228" spans="1:13" ht="12.75" customHeight="1">
      <c r="A228" s="132"/>
      <c r="B228" s="177"/>
      <c r="C228" s="7">
        <v>4120</v>
      </c>
      <c r="D228" s="129" t="s">
        <v>187</v>
      </c>
      <c r="E228" s="58">
        <v>1640</v>
      </c>
      <c r="F228" s="58">
        <f>1620+330</f>
        <v>1950</v>
      </c>
      <c r="G228" s="121">
        <f>F228</f>
        <v>1950</v>
      </c>
      <c r="H228" s="121">
        <f>F228</f>
        <v>1950</v>
      </c>
      <c r="I228" s="121"/>
      <c r="J228" s="121"/>
      <c r="K228" s="121"/>
      <c r="L228" s="121"/>
      <c r="M228" s="101"/>
    </row>
    <row r="229" spans="1:13" ht="12.75" customHeight="1">
      <c r="A229" s="132"/>
      <c r="B229" s="177"/>
      <c r="C229" s="7">
        <v>4210</v>
      </c>
      <c r="D229" s="129" t="s">
        <v>170</v>
      </c>
      <c r="E229" s="58">
        <v>2000</v>
      </c>
      <c r="F229" s="58">
        <v>3000</v>
      </c>
      <c r="G229" s="121">
        <f>F229</f>
        <v>3000</v>
      </c>
      <c r="H229" s="121"/>
      <c r="I229" s="121"/>
      <c r="J229" s="121"/>
      <c r="K229" s="121"/>
      <c r="L229" s="121"/>
      <c r="M229" s="101"/>
    </row>
    <row r="230" spans="1:13" ht="12.75" customHeight="1">
      <c r="A230" s="132"/>
      <c r="B230" s="177"/>
      <c r="C230" s="7">
        <v>4300</v>
      </c>
      <c r="D230" s="129" t="s">
        <v>190</v>
      </c>
      <c r="E230" s="58">
        <v>3000</v>
      </c>
      <c r="F230" s="58">
        <v>3000</v>
      </c>
      <c r="G230" s="121">
        <f>F230</f>
        <v>3000</v>
      </c>
      <c r="H230" s="121"/>
      <c r="I230" s="121"/>
      <c r="J230" s="121"/>
      <c r="K230" s="121"/>
      <c r="L230" s="121"/>
      <c r="M230" s="101"/>
    </row>
    <row r="231" spans="1:13" ht="12.75" customHeight="1">
      <c r="A231" s="132"/>
      <c r="B231" s="177"/>
      <c r="C231" s="7">
        <v>4410</v>
      </c>
      <c r="D231" s="129" t="s">
        <v>195</v>
      </c>
      <c r="E231" s="58">
        <v>2500</v>
      </c>
      <c r="F231" s="58">
        <v>2500</v>
      </c>
      <c r="G231" s="121">
        <f>F231</f>
        <v>2500</v>
      </c>
      <c r="H231" s="121"/>
      <c r="I231" s="121"/>
      <c r="J231" s="121"/>
      <c r="K231" s="121"/>
      <c r="L231" s="121"/>
      <c r="M231" s="101"/>
    </row>
    <row r="232" spans="1:13" ht="12.75" customHeight="1">
      <c r="A232" s="132"/>
      <c r="B232" s="177"/>
      <c r="C232" s="7">
        <v>4440</v>
      </c>
      <c r="D232" s="129" t="s">
        <v>189</v>
      </c>
      <c r="E232" s="58">
        <v>3132</v>
      </c>
      <c r="F232" s="58">
        <f>1983+992</f>
        <v>2975</v>
      </c>
      <c r="G232" s="121">
        <f>F232</f>
        <v>2975</v>
      </c>
      <c r="H232" s="121"/>
      <c r="I232" s="121"/>
      <c r="J232" s="121"/>
      <c r="K232" s="121"/>
      <c r="L232" s="121"/>
      <c r="M232" s="101"/>
    </row>
    <row r="233" spans="1:13" ht="12.75" customHeight="1">
      <c r="A233" s="132"/>
      <c r="B233" s="177"/>
      <c r="C233" s="124">
        <v>4700</v>
      </c>
      <c r="D233" s="129" t="s">
        <v>203</v>
      </c>
      <c r="E233" s="58">
        <v>1000</v>
      </c>
      <c r="F233" s="58">
        <v>2000</v>
      </c>
      <c r="G233" s="121">
        <f>F233</f>
        <v>2000</v>
      </c>
      <c r="H233" s="121"/>
      <c r="I233" s="121"/>
      <c r="J233" s="121"/>
      <c r="K233" s="121"/>
      <c r="L233" s="121"/>
      <c r="M233" s="101"/>
    </row>
    <row r="234" spans="1:13" ht="24.75">
      <c r="A234" s="132"/>
      <c r="B234" s="177"/>
      <c r="C234" s="124">
        <v>4740</v>
      </c>
      <c r="D234" s="20" t="s">
        <v>204</v>
      </c>
      <c r="E234" s="58">
        <v>2000</v>
      </c>
      <c r="F234" s="58">
        <v>2000</v>
      </c>
      <c r="G234" s="121">
        <f>F234</f>
        <v>2000</v>
      </c>
      <c r="H234" s="121"/>
      <c r="I234" s="121"/>
      <c r="J234" s="121"/>
      <c r="K234" s="121"/>
      <c r="L234" s="121"/>
      <c r="M234" s="101"/>
    </row>
    <row r="235" spans="1:13" ht="12.75" customHeight="1">
      <c r="A235" s="132"/>
      <c r="B235" s="178"/>
      <c r="C235" s="124">
        <v>4750</v>
      </c>
      <c r="D235" s="20" t="s">
        <v>205</v>
      </c>
      <c r="E235" s="58">
        <v>2000</v>
      </c>
      <c r="F235" s="58">
        <v>2000</v>
      </c>
      <c r="G235" s="121">
        <f>F235</f>
        <v>2000</v>
      </c>
      <c r="H235" s="121"/>
      <c r="I235" s="121"/>
      <c r="J235" s="121"/>
      <c r="K235" s="121"/>
      <c r="L235" s="121"/>
      <c r="M235" s="101"/>
    </row>
    <row r="236" spans="1:13" ht="12.75" customHeight="1">
      <c r="A236" s="132"/>
      <c r="B236" s="32" t="s">
        <v>138</v>
      </c>
      <c r="C236" s="33" t="s">
        <v>139</v>
      </c>
      <c r="D236" s="33"/>
      <c r="E236" s="34">
        <f>SUM(E237:E237)</f>
        <v>10164</v>
      </c>
      <c r="F236" s="34">
        <f>SUM(F237:F237)</f>
        <v>0</v>
      </c>
      <c r="G236" s="121"/>
      <c r="H236" s="121"/>
      <c r="I236" s="121"/>
      <c r="J236" s="121"/>
      <c r="K236" s="121"/>
      <c r="L236" s="121"/>
      <c r="M236" s="101"/>
    </row>
    <row r="237" spans="1:13" ht="12.75" customHeight="1">
      <c r="A237" s="132"/>
      <c r="B237" s="37"/>
      <c r="C237" s="7">
        <v>3110</v>
      </c>
      <c r="D237" s="129" t="s">
        <v>224</v>
      </c>
      <c r="E237" s="91">
        <v>10164</v>
      </c>
      <c r="F237" s="38"/>
      <c r="G237" s="121"/>
      <c r="H237" s="121"/>
      <c r="I237" s="121"/>
      <c r="J237" s="121"/>
      <c r="K237" s="121"/>
      <c r="L237" s="121"/>
      <c r="M237" s="101"/>
    </row>
    <row r="238" spans="1:13" ht="12.75" customHeight="1">
      <c r="A238" s="132"/>
      <c r="B238" s="55">
        <v>85295</v>
      </c>
      <c r="C238" s="56" t="s">
        <v>23</v>
      </c>
      <c r="D238" s="56"/>
      <c r="E238" s="154">
        <f>SUM(E239:E240)</f>
        <v>132530</v>
      </c>
      <c r="F238" s="154">
        <f>SUM(F239:F240)</f>
        <v>52000</v>
      </c>
      <c r="G238" s="155">
        <f>SUM(G239)</f>
        <v>52000</v>
      </c>
      <c r="H238" s="155">
        <f>SUM(H239)</f>
        <v>0</v>
      </c>
      <c r="I238" s="155">
        <f>SUM(I239)</f>
        <v>0</v>
      </c>
      <c r="J238" s="156">
        <f>SUM(J239)</f>
        <v>0</v>
      </c>
      <c r="K238" s="156">
        <f>SUM(K239)</f>
        <v>0</v>
      </c>
      <c r="L238" s="156">
        <f>SUM(L239)</f>
        <v>0</v>
      </c>
      <c r="M238" s="101"/>
    </row>
    <row r="239" spans="1:13" ht="12.75">
      <c r="A239" s="132"/>
      <c r="B239" s="160"/>
      <c r="C239" s="7">
        <v>3110</v>
      </c>
      <c r="D239" s="129" t="s">
        <v>224</v>
      </c>
      <c r="E239" s="58">
        <v>120930</v>
      </c>
      <c r="F239" s="58">
        <f>42000+10000</f>
        <v>52000</v>
      </c>
      <c r="G239" s="121">
        <f>F239</f>
        <v>52000</v>
      </c>
      <c r="H239" s="121"/>
      <c r="I239" s="121"/>
      <c r="J239" s="121"/>
      <c r="K239" s="121"/>
      <c r="L239" s="121"/>
      <c r="M239" s="101"/>
    </row>
    <row r="240" spans="1:13" ht="12.75">
      <c r="A240" s="161"/>
      <c r="B240" s="162"/>
      <c r="C240" s="118">
        <v>6050</v>
      </c>
      <c r="D240" s="119" t="s">
        <v>165</v>
      </c>
      <c r="E240" s="144">
        <v>11600</v>
      </c>
      <c r="F240" s="144"/>
      <c r="G240" s="121"/>
      <c r="H240" s="121"/>
      <c r="I240" s="121"/>
      <c r="J240" s="121"/>
      <c r="K240" s="121"/>
      <c r="L240" s="121"/>
      <c r="M240" s="101"/>
    </row>
    <row r="241" spans="1:13" ht="13.5">
      <c r="A241" s="79">
        <v>854</v>
      </c>
      <c r="B241" s="80" t="s">
        <v>140</v>
      </c>
      <c r="C241" s="80"/>
      <c r="D241" s="80"/>
      <c r="E241" s="112">
        <f>SUM(E242)</f>
        <v>108280</v>
      </c>
      <c r="F241" s="112">
        <f>SUM(F242)</f>
        <v>0</v>
      </c>
      <c r="G241" s="131">
        <f>SUM(G242)</f>
        <v>0</v>
      </c>
      <c r="H241" s="131">
        <f>SUM(H242)</f>
        <v>0</v>
      </c>
      <c r="I241" s="131">
        <f>SUM(I242)</f>
        <v>0</v>
      </c>
      <c r="J241" s="131">
        <f>SUM(J242)</f>
        <v>0</v>
      </c>
      <c r="K241" s="131">
        <f>SUM(K242)</f>
        <v>0</v>
      </c>
      <c r="L241" s="131">
        <f>SUM(L242)</f>
        <v>0</v>
      </c>
      <c r="M241" s="101"/>
    </row>
    <row r="242" spans="1:13" ht="12.75">
      <c r="A242" s="132"/>
      <c r="B242" s="55">
        <v>85415</v>
      </c>
      <c r="C242" s="56" t="s">
        <v>141</v>
      </c>
      <c r="D242" s="56"/>
      <c r="E242" s="23">
        <f>SUM(E243)</f>
        <v>108280</v>
      </c>
      <c r="F242" s="23">
        <f>SUM(F243)</f>
        <v>0</v>
      </c>
      <c r="G242" s="155">
        <f>SUM(G243)</f>
        <v>0</v>
      </c>
      <c r="H242" s="155">
        <f>SUM(H243)</f>
        <v>0</v>
      </c>
      <c r="I242" s="155">
        <f>SUM(I243)</f>
        <v>0</v>
      </c>
      <c r="J242" s="156">
        <f>SUM(J243)</f>
        <v>0</v>
      </c>
      <c r="K242" s="156">
        <f>SUM(K243)</f>
        <v>0</v>
      </c>
      <c r="L242" s="156">
        <f>SUM(L243)</f>
        <v>0</v>
      </c>
      <c r="M242" s="101"/>
    </row>
    <row r="243" spans="1:13" ht="12.75">
      <c r="A243" s="161"/>
      <c r="B243" s="60"/>
      <c r="C243" s="7">
        <v>3260</v>
      </c>
      <c r="D243" s="129" t="s">
        <v>230</v>
      </c>
      <c r="E243" s="21">
        <v>108280</v>
      </c>
      <c r="F243" s="58"/>
      <c r="G243" s="121"/>
      <c r="H243" s="121"/>
      <c r="I243" s="121"/>
      <c r="J243" s="121"/>
      <c r="K243" s="121"/>
      <c r="L243" s="121"/>
      <c r="M243" s="101"/>
    </row>
    <row r="244" spans="1:13" ht="13.5">
      <c r="A244" s="79">
        <v>900</v>
      </c>
      <c r="B244" s="80" t="s">
        <v>143</v>
      </c>
      <c r="C244" s="80"/>
      <c r="D244" s="80"/>
      <c r="E244" s="112">
        <f>SUM(E245,E257,E259,E266,E264)</f>
        <v>868810</v>
      </c>
      <c r="F244" s="112">
        <f>SUM(F245,F257,F259,F266,F264)</f>
        <v>669926</v>
      </c>
      <c r="G244" s="131">
        <f>SUM(G245,G257,G259,G266,G264)</f>
        <v>596926</v>
      </c>
      <c r="H244" s="131">
        <f>SUM(H245,H257,H259,H266,H264)</f>
        <v>118510</v>
      </c>
      <c r="I244" s="131">
        <f>SUM(I245,I257,I259,I266,I264)</f>
        <v>0</v>
      </c>
      <c r="J244" s="131">
        <f>SUM(J245,J257,J259,J266,J264)</f>
        <v>0</v>
      </c>
      <c r="K244" s="131">
        <f>SUM(K245,K257,K259,K266,K264)</f>
        <v>0</v>
      </c>
      <c r="L244" s="131">
        <f>SUM(L245,L257,L259,L266,L264)</f>
        <v>73000</v>
      </c>
      <c r="M244" s="101"/>
    </row>
    <row r="245" spans="1:13" ht="12.75" customHeight="1">
      <c r="A245" s="132"/>
      <c r="B245" s="55">
        <v>90003</v>
      </c>
      <c r="C245" s="56" t="s">
        <v>231</v>
      </c>
      <c r="D245" s="56"/>
      <c r="E245" s="17">
        <f>SUM(E246:E256)</f>
        <v>255950</v>
      </c>
      <c r="F245" s="17">
        <f>SUM(F246:F256)</f>
        <v>250253</v>
      </c>
      <c r="G245" s="123">
        <f>SUM(G246:G256)</f>
        <v>250253</v>
      </c>
      <c r="H245" s="123">
        <f>SUM(H246:H256)</f>
        <v>58410</v>
      </c>
      <c r="I245" s="123">
        <f>SUM(I246:I256)</f>
        <v>0</v>
      </c>
      <c r="J245" s="123">
        <f>SUM(J246:J256)</f>
        <v>0</v>
      </c>
      <c r="K245" s="123">
        <f>SUM(K246:K256)</f>
        <v>0</v>
      </c>
      <c r="L245" s="123">
        <f>SUM(L246:L256)</f>
        <v>0</v>
      </c>
      <c r="M245" s="101"/>
    </row>
    <row r="246" spans="1:13" ht="12.75" customHeight="1">
      <c r="A246" s="132"/>
      <c r="B246" s="125"/>
      <c r="C246" s="7">
        <v>3020</v>
      </c>
      <c r="D246" s="129" t="s">
        <v>197</v>
      </c>
      <c r="E246" s="58">
        <v>400</v>
      </c>
      <c r="F246" s="58">
        <v>500</v>
      </c>
      <c r="G246" s="121">
        <f>F246</f>
        <v>500</v>
      </c>
      <c r="H246" s="121"/>
      <c r="I246" s="121"/>
      <c r="J246" s="121"/>
      <c r="K246" s="121"/>
      <c r="L246" s="121"/>
      <c r="M246" s="101"/>
    </row>
    <row r="247" spans="1:13" ht="12.75" customHeight="1">
      <c r="A247" s="132"/>
      <c r="B247" s="125"/>
      <c r="C247" s="124">
        <v>3040</v>
      </c>
      <c r="D247" s="158" t="s">
        <v>198</v>
      </c>
      <c r="E247" s="58">
        <v>1000</v>
      </c>
      <c r="F247" s="58">
        <v>1360</v>
      </c>
      <c r="G247" s="121">
        <f>F247</f>
        <v>1360</v>
      </c>
      <c r="H247" s="121"/>
      <c r="I247" s="121"/>
      <c r="J247" s="121"/>
      <c r="K247" s="121"/>
      <c r="L247" s="121"/>
      <c r="M247" s="101"/>
    </row>
    <row r="248" spans="1:13" ht="12.75" customHeight="1">
      <c r="A248" s="132"/>
      <c r="B248" s="177"/>
      <c r="C248" s="7">
        <v>4010</v>
      </c>
      <c r="D248" s="129" t="s">
        <v>184</v>
      </c>
      <c r="E248" s="58">
        <v>49520</v>
      </c>
      <c r="F248" s="58">
        <f>41300+3000</f>
        <v>44300</v>
      </c>
      <c r="G248" s="121">
        <f>F248</f>
        <v>44300</v>
      </c>
      <c r="H248" s="121">
        <f>G248</f>
        <v>44300</v>
      </c>
      <c r="I248" s="121"/>
      <c r="J248" s="121"/>
      <c r="K248" s="121"/>
      <c r="L248" s="121"/>
      <c r="M248" s="101"/>
    </row>
    <row r="249" spans="1:13" ht="12.75" customHeight="1">
      <c r="A249" s="132"/>
      <c r="B249" s="177"/>
      <c r="C249" s="7">
        <v>4040</v>
      </c>
      <c r="D249" s="129" t="s">
        <v>192</v>
      </c>
      <c r="E249" s="58">
        <v>3250</v>
      </c>
      <c r="F249" s="58">
        <v>3510</v>
      </c>
      <c r="G249" s="121">
        <f>F249</f>
        <v>3510</v>
      </c>
      <c r="H249" s="121">
        <f>G249</f>
        <v>3510</v>
      </c>
      <c r="I249" s="121"/>
      <c r="J249" s="121"/>
      <c r="K249" s="121"/>
      <c r="L249" s="121"/>
      <c r="M249" s="101"/>
    </row>
    <row r="250" spans="1:13" ht="12.75" customHeight="1">
      <c r="A250" s="132"/>
      <c r="B250" s="177"/>
      <c r="C250" s="7">
        <v>4110</v>
      </c>
      <c r="D250" s="129" t="s">
        <v>186</v>
      </c>
      <c r="E250" s="58">
        <f>8500+560</f>
        <v>9060</v>
      </c>
      <c r="F250" s="58">
        <v>7400</v>
      </c>
      <c r="G250" s="121">
        <f>F250</f>
        <v>7400</v>
      </c>
      <c r="H250" s="121">
        <f>G250</f>
        <v>7400</v>
      </c>
      <c r="I250" s="121"/>
      <c r="J250" s="121"/>
      <c r="K250" s="121"/>
      <c r="L250" s="121"/>
      <c r="M250" s="101"/>
    </row>
    <row r="251" spans="1:256" s="114" customFormat="1" ht="12.75" customHeight="1">
      <c r="A251" s="132"/>
      <c r="B251" s="177"/>
      <c r="C251" s="7">
        <v>4120</v>
      </c>
      <c r="D251" s="129" t="s">
        <v>187</v>
      </c>
      <c r="E251" s="58">
        <f>1300+100</f>
        <v>1400</v>
      </c>
      <c r="F251" s="58">
        <v>1200</v>
      </c>
      <c r="G251" s="121">
        <f>F251</f>
        <v>1200</v>
      </c>
      <c r="H251" s="121">
        <f>G251</f>
        <v>1200</v>
      </c>
      <c r="I251" s="139"/>
      <c r="J251" s="139"/>
      <c r="K251" s="139"/>
      <c r="L251" s="139"/>
      <c r="M251" s="113"/>
      <c r="IK251" s="2"/>
      <c r="IL251" s="2"/>
      <c r="IM251"/>
      <c r="IN251"/>
      <c r="IO251"/>
      <c r="IP251"/>
      <c r="IQ251"/>
      <c r="IR251"/>
      <c r="IS251"/>
      <c r="IT251"/>
      <c r="IU251"/>
      <c r="IV251"/>
    </row>
    <row r="252" spans="1:256" s="114" customFormat="1" ht="12.75" customHeight="1">
      <c r="A252" s="132"/>
      <c r="B252" s="177"/>
      <c r="C252" s="78">
        <v>4170</v>
      </c>
      <c r="D252" s="66" t="s">
        <v>169</v>
      </c>
      <c r="E252" s="58">
        <v>2500</v>
      </c>
      <c r="F252" s="58">
        <v>2000</v>
      </c>
      <c r="G252" s="121">
        <f>F252</f>
        <v>2000</v>
      </c>
      <c r="H252" s="121">
        <f>G252</f>
        <v>2000</v>
      </c>
      <c r="I252" s="139"/>
      <c r="J252" s="139"/>
      <c r="K252" s="139"/>
      <c r="L252" s="139"/>
      <c r="M252" s="113"/>
      <c r="IK252" s="2"/>
      <c r="IL252" s="2"/>
      <c r="IM252"/>
      <c r="IN252"/>
      <c r="IO252"/>
      <c r="IP252"/>
      <c r="IQ252"/>
      <c r="IR252"/>
      <c r="IS252"/>
      <c r="IT252"/>
      <c r="IU252"/>
      <c r="IV252"/>
    </row>
    <row r="253" spans="1:256" s="114" customFormat="1" ht="12.75" customHeight="1">
      <c r="A253" s="132"/>
      <c r="B253" s="177"/>
      <c r="C253" s="7">
        <v>4210</v>
      </c>
      <c r="D253" s="129" t="s">
        <v>170</v>
      </c>
      <c r="E253" s="58">
        <v>3000</v>
      </c>
      <c r="F253" s="58">
        <v>3000</v>
      </c>
      <c r="G253" s="121">
        <f>F253</f>
        <v>3000</v>
      </c>
      <c r="H253" s="121"/>
      <c r="I253" s="139"/>
      <c r="J253" s="139"/>
      <c r="K253" s="139"/>
      <c r="L253" s="139"/>
      <c r="M253" s="113"/>
      <c r="IK253" s="2"/>
      <c r="IL253" s="2"/>
      <c r="IM253"/>
      <c r="IN253"/>
      <c r="IO253"/>
      <c r="IP253"/>
      <c r="IQ253"/>
      <c r="IR253"/>
      <c r="IS253"/>
      <c r="IT253"/>
      <c r="IU253"/>
      <c r="IV253"/>
    </row>
    <row r="254" spans="1:256" s="117" customFormat="1" ht="12.75" customHeight="1">
      <c r="A254" s="132"/>
      <c r="B254" s="177"/>
      <c r="C254" s="7">
        <v>4260</v>
      </c>
      <c r="D254" s="129" t="s">
        <v>199</v>
      </c>
      <c r="E254" s="133">
        <v>24000</v>
      </c>
      <c r="F254" s="133">
        <v>25000</v>
      </c>
      <c r="G254" s="121">
        <f>F254</f>
        <v>25000</v>
      </c>
      <c r="H254" s="121"/>
      <c r="I254" s="131"/>
      <c r="J254" s="131"/>
      <c r="K254" s="131"/>
      <c r="L254" s="131"/>
      <c r="M254" s="116"/>
      <c r="IK254" s="2"/>
      <c r="IL254" s="2"/>
      <c r="IM254"/>
      <c r="IN254"/>
      <c r="IO254"/>
      <c r="IP254"/>
      <c r="IQ254"/>
      <c r="IR254"/>
      <c r="IS254"/>
      <c r="IT254"/>
      <c r="IU254"/>
      <c r="IV254"/>
    </row>
    <row r="255" spans="1:256" s="188" customFormat="1" ht="12.75" customHeight="1">
      <c r="A255" s="132"/>
      <c r="B255" s="177"/>
      <c r="C255" s="7">
        <v>4300</v>
      </c>
      <c r="D255" s="129" t="s">
        <v>188</v>
      </c>
      <c r="E255" s="38">
        <v>160000</v>
      </c>
      <c r="F255" s="38">
        <v>160000</v>
      </c>
      <c r="G255" s="121">
        <f>F255</f>
        <v>160000</v>
      </c>
      <c r="H255" s="121"/>
      <c r="I255" s="121"/>
      <c r="J255" s="121"/>
      <c r="K255" s="121"/>
      <c r="L255" s="121"/>
      <c r="M255" s="187"/>
      <c r="IK255" s="2"/>
      <c r="IL255" s="2"/>
      <c r="IM255"/>
      <c r="IN255"/>
      <c r="IO255"/>
      <c r="IP255"/>
      <c r="IQ255"/>
      <c r="IR255"/>
      <c r="IS255"/>
      <c r="IT255"/>
      <c r="IU255"/>
      <c r="IV255"/>
    </row>
    <row r="256" spans="1:256" s="188" customFormat="1" ht="12.75" customHeight="1">
      <c r="A256" s="132"/>
      <c r="B256" s="177"/>
      <c r="C256" s="7">
        <v>4440</v>
      </c>
      <c r="D256" s="129" t="s">
        <v>189</v>
      </c>
      <c r="E256" s="38">
        <v>1820</v>
      </c>
      <c r="F256" s="38">
        <v>1983</v>
      </c>
      <c r="G256" s="121">
        <f>F256</f>
        <v>1983</v>
      </c>
      <c r="H256" s="121"/>
      <c r="I256" s="121"/>
      <c r="J256" s="121"/>
      <c r="K256" s="121"/>
      <c r="L256" s="121"/>
      <c r="M256" s="187"/>
      <c r="IK256" s="2"/>
      <c r="IL256" s="2"/>
      <c r="IM256"/>
      <c r="IN256"/>
      <c r="IO256"/>
      <c r="IP256"/>
      <c r="IQ256"/>
      <c r="IR256"/>
      <c r="IS256"/>
      <c r="IT256"/>
      <c r="IU256"/>
      <c r="IV256"/>
    </row>
    <row r="257" spans="1:256" s="188" customFormat="1" ht="12.75" customHeight="1">
      <c r="A257" s="132"/>
      <c r="B257" s="83">
        <v>90004</v>
      </c>
      <c r="C257" s="56" t="s">
        <v>232</v>
      </c>
      <c r="D257" s="56"/>
      <c r="E257" s="17">
        <f>SUM(E258)</f>
        <v>4500</v>
      </c>
      <c r="F257" s="17">
        <f>SUM(F258)</f>
        <v>4500</v>
      </c>
      <c r="G257" s="123">
        <f>SUM(G258)</f>
        <v>4500</v>
      </c>
      <c r="H257" s="123">
        <f>SUM(H258)</f>
        <v>0</v>
      </c>
      <c r="I257" s="123">
        <f>SUM(I258)</f>
        <v>0</v>
      </c>
      <c r="J257" s="123">
        <f>SUM(J258)</f>
        <v>0</v>
      </c>
      <c r="K257" s="123">
        <f>SUM(K258)</f>
        <v>0</v>
      </c>
      <c r="L257" s="123">
        <f>SUM(L258)</f>
        <v>0</v>
      </c>
      <c r="M257" s="187"/>
      <c r="IK257" s="2"/>
      <c r="IL257" s="2"/>
      <c r="IM257"/>
      <c r="IN257"/>
      <c r="IO257"/>
      <c r="IP257"/>
      <c r="IQ257"/>
      <c r="IR257"/>
      <c r="IS257"/>
      <c r="IT257"/>
      <c r="IU257"/>
      <c r="IV257"/>
    </row>
    <row r="258" spans="1:256" s="188" customFormat="1" ht="12.75" customHeight="1">
      <c r="A258" s="132"/>
      <c r="B258" s="165"/>
      <c r="C258" s="7">
        <v>4210</v>
      </c>
      <c r="D258" s="129" t="s">
        <v>170</v>
      </c>
      <c r="E258" s="38">
        <v>4500</v>
      </c>
      <c r="F258" s="38">
        <v>4500</v>
      </c>
      <c r="G258" s="121">
        <f>F258</f>
        <v>4500</v>
      </c>
      <c r="H258" s="121"/>
      <c r="I258" s="121"/>
      <c r="J258" s="121"/>
      <c r="K258" s="121"/>
      <c r="L258" s="121"/>
      <c r="M258" s="187"/>
      <c r="IK258" s="2"/>
      <c r="IL258" s="2"/>
      <c r="IM258"/>
      <c r="IN258"/>
      <c r="IO258"/>
      <c r="IP258"/>
      <c r="IQ258"/>
      <c r="IR258"/>
      <c r="IS258"/>
      <c r="IT258"/>
      <c r="IU258"/>
      <c r="IV258"/>
    </row>
    <row r="259" spans="1:256" s="188" customFormat="1" ht="12.75" customHeight="1">
      <c r="A259" s="189"/>
      <c r="B259" s="55">
        <v>90015</v>
      </c>
      <c r="C259" s="56" t="s">
        <v>233</v>
      </c>
      <c r="D259" s="56"/>
      <c r="E259" s="17">
        <f>SUM(E260:E263)</f>
        <v>100000</v>
      </c>
      <c r="F259" s="17">
        <f>SUM(F260:F263)</f>
        <v>120000</v>
      </c>
      <c r="G259" s="123">
        <f>SUM(G260:G263)</f>
        <v>100000</v>
      </c>
      <c r="H259" s="123">
        <f>SUM(H260:H263)</f>
        <v>0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20000</v>
      </c>
      <c r="M259" s="187"/>
      <c r="IK259" s="2"/>
      <c r="IL259" s="2"/>
      <c r="IM259"/>
      <c r="IN259"/>
      <c r="IO259"/>
      <c r="IP259"/>
      <c r="IQ259"/>
      <c r="IR259"/>
      <c r="IS259"/>
      <c r="IT259"/>
      <c r="IU259"/>
      <c r="IV259"/>
    </row>
    <row r="260" spans="1:13" ht="12.75" customHeight="1">
      <c r="A260" s="189"/>
      <c r="B260" s="177"/>
      <c r="C260" s="124">
        <v>4260</v>
      </c>
      <c r="D260" s="129" t="s">
        <v>199</v>
      </c>
      <c r="E260" s="133">
        <v>55000</v>
      </c>
      <c r="F260" s="133">
        <v>70000</v>
      </c>
      <c r="G260" s="121">
        <f>F260</f>
        <v>70000</v>
      </c>
      <c r="H260" s="121"/>
      <c r="I260" s="121"/>
      <c r="J260" s="121"/>
      <c r="K260" s="121"/>
      <c r="L260" s="121"/>
      <c r="M260" s="101"/>
    </row>
    <row r="261" spans="1:13" ht="12.75" customHeight="1">
      <c r="A261" s="189"/>
      <c r="B261" s="177"/>
      <c r="C261" s="124">
        <v>4270</v>
      </c>
      <c r="D261" s="129" t="s">
        <v>217</v>
      </c>
      <c r="E261" s="133">
        <v>35000</v>
      </c>
      <c r="F261" s="133">
        <v>20000</v>
      </c>
      <c r="G261" s="121">
        <f>F261</f>
        <v>20000</v>
      </c>
      <c r="H261" s="121"/>
      <c r="I261" s="121"/>
      <c r="J261" s="121"/>
      <c r="K261" s="121"/>
      <c r="L261" s="121"/>
      <c r="M261" s="101"/>
    </row>
    <row r="262" spans="1:256" s="117" customFormat="1" ht="12.75" customHeight="1">
      <c r="A262" s="189"/>
      <c r="B262" s="177"/>
      <c r="C262" s="7">
        <v>4300</v>
      </c>
      <c r="D262" s="129" t="s">
        <v>188</v>
      </c>
      <c r="E262" s="133">
        <v>10000</v>
      </c>
      <c r="F262" s="133">
        <v>10000</v>
      </c>
      <c r="G262" s="121">
        <f>F262</f>
        <v>10000</v>
      </c>
      <c r="H262" s="121"/>
      <c r="I262" s="131"/>
      <c r="J262" s="131"/>
      <c r="K262" s="131"/>
      <c r="L262" s="131"/>
      <c r="M262" s="116"/>
      <c r="IK262" s="2"/>
      <c r="IL262" s="2"/>
      <c r="IM262"/>
      <c r="IN262"/>
      <c r="IO262"/>
      <c r="IP262"/>
      <c r="IQ262"/>
      <c r="IR262"/>
      <c r="IS262"/>
      <c r="IT262"/>
      <c r="IU262"/>
      <c r="IV262"/>
    </row>
    <row r="263" spans="1:256" s="117" customFormat="1" ht="12.75" customHeight="1">
      <c r="A263" s="189"/>
      <c r="B263" s="177"/>
      <c r="C263" s="118">
        <v>6050</v>
      </c>
      <c r="D263" s="119" t="s">
        <v>165</v>
      </c>
      <c r="E263" s="135"/>
      <c r="F263" s="135">
        <f>3a!H20</f>
        <v>20000</v>
      </c>
      <c r="G263" s="121"/>
      <c r="H263" s="121"/>
      <c r="I263" s="131"/>
      <c r="J263" s="131"/>
      <c r="K263" s="131"/>
      <c r="L263" s="121">
        <f>F263</f>
        <v>20000</v>
      </c>
      <c r="M263" s="116"/>
      <c r="IK263" s="2"/>
      <c r="IL263" s="2"/>
      <c r="IM263"/>
      <c r="IN263"/>
      <c r="IO263"/>
      <c r="IP263"/>
      <c r="IQ263"/>
      <c r="IR263"/>
      <c r="IS263"/>
      <c r="IT263"/>
      <c r="IU263"/>
      <c r="IV263"/>
    </row>
    <row r="264" spans="1:256" s="117" customFormat="1" ht="24.75">
      <c r="A264" s="189"/>
      <c r="B264" s="92">
        <v>90019</v>
      </c>
      <c r="C264" s="41" t="s">
        <v>234</v>
      </c>
      <c r="D264" s="41"/>
      <c r="E264" s="23">
        <f>SUM(E265)</f>
        <v>15000</v>
      </c>
      <c r="F264" s="23">
        <f>SUM(F265)</f>
        <v>10000</v>
      </c>
      <c r="G264" s="155">
        <f>SUM(G265)</f>
        <v>10000</v>
      </c>
      <c r="H264" s="155">
        <f>SUM(H265)</f>
        <v>0</v>
      </c>
      <c r="I264" s="155">
        <f>SUM(I265)</f>
        <v>0</v>
      </c>
      <c r="J264" s="156">
        <f>SUM(J265)</f>
        <v>0</v>
      </c>
      <c r="K264" s="156">
        <f>SUM(K265)</f>
        <v>0</v>
      </c>
      <c r="L264" s="156">
        <f>SUM(L265)</f>
        <v>0</v>
      </c>
      <c r="M264" s="116"/>
      <c r="IK264" s="2"/>
      <c r="IL264" s="2"/>
      <c r="IM264"/>
      <c r="IN264"/>
      <c r="IO264"/>
      <c r="IP264"/>
      <c r="IQ264"/>
      <c r="IR264"/>
      <c r="IS264"/>
      <c r="IT264"/>
      <c r="IU264"/>
      <c r="IV264"/>
    </row>
    <row r="265" spans="1:256" s="117" customFormat="1" ht="12.75" customHeight="1">
      <c r="A265" s="189"/>
      <c r="B265" s="190"/>
      <c r="C265" s="166">
        <v>4300</v>
      </c>
      <c r="D265" s="66" t="s">
        <v>188</v>
      </c>
      <c r="E265" s="21">
        <v>15000</v>
      </c>
      <c r="F265" s="21">
        <v>10000</v>
      </c>
      <c r="G265" s="121">
        <f>F265</f>
        <v>10000</v>
      </c>
      <c r="H265" s="121"/>
      <c r="I265" s="131"/>
      <c r="J265" s="131"/>
      <c r="K265" s="131"/>
      <c r="L265" s="131"/>
      <c r="M265" s="116"/>
      <c r="IK265" s="2"/>
      <c r="IL265" s="2"/>
      <c r="IM265"/>
      <c r="IN265"/>
      <c r="IO265"/>
      <c r="IP265"/>
      <c r="IQ265"/>
      <c r="IR265"/>
      <c r="IS265"/>
      <c r="IT265"/>
      <c r="IU265"/>
      <c r="IV265"/>
    </row>
    <row r="266" spans="1:13" ht="12.75" customHeight="1">
      <c r="A266" s="132"/>
      <c r="B266" s="191">
        <v>90095</v>
      </c>
      <c r="C266" s="56" t="s">
        <v>23</v>
      </c>
      <c r="D266" s="56"/>
      <c r="E266" s="17">
        <f>SUM(E267:E279)</f>
        <v>493360</v>
      </c>
      <c r="F266" s="17">
        <f>SUM(F267:F279)</f>
        <v>285173</v>
      </c>
      <c r="G266" s="17">
        <f>SUM(G267:G279)</f>
        <v>232173</v>
      </c>
      <c r="H266" s="17">
        <f>SUM(H267:H279)</f>
        <v>60100</v>
      </c>
      <c r="I266" s="17">
        <f>SUM(I267:I279)</f>
        <v>0</v>
      </c>
      <c r="J266" s="17">
        <f>SUM(J267:J279)</f>
        <v>0</v>
      </c>
      <c r="K266" s="17">
        <f>SUM(K267:K279)</f>
        <v>0</v>
      </c>
      <c r="L266" s="17">
        <f>SUM(L267:L279)</f>
        <v>53000</v>
      </c>
      <c r="M266" s="101"/>
    </row>
    <row r="267" spans="1:13" ht="12.75" customHeight="1">
      <c r="A267" s="132"/>
      <c r="B267" s="191"/>
      <c r="C267" s="7">
        <v>3020</v>
      </c>
      <c r="D267" s="129" t="s">
        <v>197</v>
      </c>
      <c r="E267" s="133">
        <v>500</v>
      </c>
      <c r="F267" s="133">
        <v>500</v>
      </c>
      <c r="G267" s="121">
        <f>F267</f>
        <v>500</v>
      </c>
      <c r="H267" s="121"/>
      <c r="I267" s="121"/>
      <c r="J267" s="121"/>
      <c r="K267" s="121"/>
      <c r="L267" s="121"/>
      <c r="M267" s="101"/>
    </row>
    <row r="268" spans="1:256" s="117" customFormat="1" ht="12.75" customHeight="1">
      <c r="A268" s="132"/>
      <c r="B268" s="191"/>
      <c r="C268" s="7">
        <v>4010</v>
      </c>
      <c r="D268" s="129" t="s">
        <v>184</v>
      </c>
      <c r="E268" s="133">
        <v>24000</v>
      </c>
      <c r="F268" s="133">
        <v>40500</v>
      </c>
      <c r="G268" s="121">
        <f>F268</f>
        <v>40500</v>
      </c>
      <c r="H268" s="121">
        <f>G268</f>
        <v>40500</v>
      </c>
      <c r="I268" s="131"/>
      <c r="J268" s="131"/>
      <c r="K268" s="131"/>
      <c r="L268" s="131"/>
      <c r="M268" s="116"/>
      <c r="IK268" s="2"/>
      <c r="IL268" s="2"/>
      <c r="IM268"/>
      <c r="IN268"/>
      <c r="IO268"/>
      <c r="IP268"/>
      <c r="IQ268"/>
      <c r="IR268"/>
      <c r="IS268"/>
      <c r="IT268"/>
      <c r="IU268"/>
      <c r="IV268"/>
    </row>
    <row r="269" spans="1:256" s="117" customFormat="1" ht="12.75" customHeight="1">
      <c r="A269" s="132"/>
      <c r="B269" s="191"/>
      <c r="C269" s="7">
        <v>4040</v>
      </c>
      <c r="D269" s="129" t="s">
        <v>192</v>
      </c>
      <c r="E269" s="133">
        <v>2000</v>
      </c>
      <c r="F269" s="133">
        <v>2500</v>
      </c>
      <c r="G269" s="121">
        <f>F269</f>
        <v>2500</v>
      </c>
      <c r="H269" s="121">
        <f>G269</f>
        <v>2500</v>
      </c>
      <c r="I269" s="131"/>
      <c r="J269" s="131"/>
      <c r="K269" s="131"/>
      <c r="L269" s="131"/>
      <c r="M269" s="116"/>
      <c r="IK269" s="2"/>
      <c r="IL269" s="2"/>
      <c r="IM269"/>
      <c r="IN269"/>
      <c r="IO269"/>
      <c r="IP269"/>
      <c r="IQ269"/>
      <c r="IR269"/>
      <c r="IS269"/>
      <c r="IT269"/>
      <c r="IU269"/>
      <c r="IV269"/>
    </row>
    <row r="270" spans="1:256" s="117" customFormat="1" ht="12.75" customHeight="1">
      <c r="A270" s="132"/>
      <c r="B270" s="191"/>
      <c r="C270" s="7">
        <v>4110</v>
      </c>
      <c r="D270" s="129" t="s">
        <v>186</v>
      </c>
      <c r="E270" s="133">
        <v>4500</v>
      </c>
      <c r="F270" s="133">
        <v>6100</v>
      </c>
      <c r="G270" s="121">
        <f>F270</f>
        <v>6100</v>
      </c>
      <c r="H270" s="121">
        <f>G270</f>
        <v>6100</v>
      </c>
      <c r="I270" s="131"/>
      <c r="J270" s="131"/>
      <c r="K270" s="131"/>
      <c r="L270" s="131"/>
      <c r="M270" s="116"/>
      <c r="IK270" s="2"/>
      <c r="IL270" s="2"/>
      <c r="IM270"/>
      <c r="IN270"/>
      <c r="IO270"/>
      <c r="IP270"/>
      <c r="IQ270"/>
      <c r="IR270"/>
      <c r="IS270"/>
      <c r="IT270"/>
      <c r="IU270"/>
      <c r="IV270"/>
    </row>
    <row r="271" spans="1:256" s="117" customFormat="1" ht="12.75" customHeight="1">
      <c r="A271" s="132"/>
      <c r="B271" s="165"/>
      <c r="C271" s="7">
        <v>4120</v>
      </c>
      <c r="D271" s="129" t="s">
        <v>187</v>
      </c>
      <c r="E271" s="133">
        <v>500</v>
      </c>
      <c r="F271" s="133">
        <v>1000</v>
      </c>
      <c r="G271" s="121">
        <f>F271</f>
        <v>1000</v>
      </c>
      <c r="H271" s="121">
        <f>G271</f>
        <v>1000</v>
      </c>
      <c r="I271" s="131"/>
      <c r="J271" s="131"/>
      <c r="K271" s="131"/>
      <c r="L271" s="131"/>
      <c r="M271" s="116"/>
      <c r="IK271" s="2"/>
      <c r="IL271" s="2"/>
      <c r="IM271"/>
      <c r="IN271"/>
      <c r="IO271"/>
      <c r="IP271"/>
      <c r="IQ271"/>
      <c r="IR271"/>
      <c r="IS271"/>
      <c r="IT271"/>
      <c r="IU271"/>
      <c r="IV271"/>
    </row>
    <row r="272" spans="1:256" s="117" customFormat="1" ht="12.75" customHeight="1">
      <c r="A272" s="132"/>
      <c r="B272" s="165"/>
      <c r="C272" s="7">
        <v>4140</v>
      </c>
      <c r="D272" s="20" t="s">
        <v>235</v>
      </c>
      <c r="E272" s="133">
        <v>3000</v>
      </c>
      <c r="F272" s="133"/>
      <c r="G272" s="121">
        <f>F272</f>
        <v>0</v>
      </c>
      <c r="H272" s="121"/>
      <c r="I272" s="131"/>
      <c r="J272" s="131"/>
      <c r="K272" s="131"/>
      <c r="L272" s="131"/>
      <c r="M272" s="116"/>
      <c r="IK272" s="2"/>
      <c r="IL272" s="2"/>
      <c r="IM272"/>
      <c r="IN272"/>
      <c r="IO272"/>
      <c r="IP272"/>
      <c r="IQ272"/>
      <c r="IR272"/>
      <c r="IS272"/>
      <c r="IT272"/>
      <c r="IU272"/>
      <c r="IV272"/>
    </row>
    <row r="273" spans="1:256" s="117" customFormat="1" ht="12.75" customHeight="1">
      <c r="A273" s="132"/>
      <c r="B273" s="165"/>
      <c r="C273" s="78">
        <v>4170</v>
      </c>
      <c r="D273" s="66" t="s">
        <v>169</v>
      </c>
      <c r="E273" s="133">
        <v>10000</v>
      </c>
      <c r="F273" s="133">
        <v>10000</v>
      </c>
      <c r="G273" s="121">
        <f>F273</f>
        <v>10000</v>
      </c>
      <c r="H273" s="121">
        <f>G273</f>
        <v>10000</v>
      </c>
      <c r="I273" s="131"/>
      <c r="J273" s="131"/>
      <c r="K273" s="131"/>
      <c r="L273" s="131"/>
      <c r="M273" s="116"/>
      <c r="IK273" s="2"/>
      <c r="IL273" s="2"/>
      <c r="IM273"/>
      <c r="IN273"/>
      <c r="IO273"/>
      <c r="IP273"/>
      <c r="IQ273"/>
      <c r="IR273"/>
      <c r="IS273"/>
      <c r="IT273"/>
      <c r="IU273"/>
      <c r="IV273"/>
    </row>
    <row r="274" spans="1:13" ht="12.75" customHeight="1">
      <c r="A274" s="132"/>
      <c r="B274" s="165"/>
      <c r="C274" s="7">
        <v>4210</v>
      </c>
      <c r="D274" s="129" t="s">
        <v>170</v>
      </c>
      <c r="E274" s="133">
        <v>61250</v>
      </c>
      <c r="F274" s="133">
        <v>50000</v>
      </c>
      <c r="G274" s="121">
        <f>F274</f>
        <v>50000</v>
      </c>
      <c r="H274" s="121"/>
      <c r="I274" s="121"/>
      <c r="J274" s="121"/>
      <c r="K274" s="121"/>
      <c r="L274" s="121"/>
      <c r="M274" s="101"/>
    </row>
    <row r="275" spans="1:256" s="117" customFormat="1" ht="12.75" customHeight="1">
      <c r="A275" s="132"/>
      <c r="B275" s="165"/>
      <c r="C275" s="7">
        <v>4260</v>
      </c>
      <c r="D275" s="129" t="s">
        <v>199</v>
      </c>
      <c r="E275" s="133">
        <v>7000</v>
      </c>
      <c r="F275" s="133">
        <v>8600</v>
      </c>
      <c r="G275" s="121">
        <f>F275</f>
        <v>8600</v>
      </c>
      <c r="H275" s="121"/>
      <c r="I275" s="131"/>
      <c r="J275" s="131"/>
      <c r="K275" s="131"/>
      <c r="L275" s="131"/>
      <c r="M275" s="116"/>
      <c r="IK275" s="2"/>
      <c r="IL275" s="2"/>
      <c r="IM275"/>
      <c r="IN275"/>
      <c r="IO275"/>
      <c r="IP275"/>
      <c r="IQ275"/>
      <c r="IR275"/>
      <c r="IS275"/>
      <c r="IT275"/>
      <c r="IU275"/>
      <c r="IV275"/>
    </row>
    <row r="276" spans="1:256" s="117" customFormat="1" ht="12.75" customHeight="1">
      <c r="A276" s="132"/>
      <c r="B276" s="165"/>
      <c r="C276" s="7">
        <v>4300</v>
      </c>
      <c r="D276" s="129" t="s">
        <v>188</v>
      </c>
      <c r="E276" s="133">
        <v>169000</v>
      </c>
      <c r="F276" s="133">
        <v>100000</v>
      </c>
      <c r="G276" s="121">
        <f>F276</f>
        <v>100000</v>
      </c>
      <c r="H276" s="121"/>
      <c r="I276" s="131"/>
      <c r="J276" s="131"/>
      <c r="K276" s="131"/>
      <c r="L276" s="131"/>
      <c r="M276" s="116"/>
      <c r="IK276" s="2"/>
      <c r="IL276" s="2"/>
      <c r="IM276"/>
      <c r="IN276"/>
      <c r="IO276"/>
      <c r="IP276"/>
      <c r="IQ276"/>
      <c r="IR276"/>
      <c r="IS276"/>
      <c r="IT276"/>
      <c r="IU276"/>
      <c r="IV276"/>
    </row>
    <row r="277" spans="1:256" s="117" customFormat="1" ht="12.75" customHeight="1">
      <c r="A277" s="132"/>
      <c r="B277" s="141"/>
      <c r="C277" s="7">
        <v>4430</v>
      </c>
      <c r="D277" s="129" t="s">
        <v>236</v>
      </c>
      <c r="E277" s="133">
        <v>10000</v>
      </c>
      <c r="F277" s="133">
        <v>10000</v>
      </c>
      <c r="G277" s="121">
        <f>F277</f>
        <v>10000</v>
      </c>
      <c r="H277" s="121"/>
      <c r="I277" s="131"/>
      <c r="J277" s="131"/>
      <c r="K277" s="131"/>
      <c r="L277" s="131"/>
      <c r="M277" s="116"/>
      <c r="IK277" s="2"/>
      <c r="IL277" s="2"/>
      <c r="IM277"/>
      <c r="IN277"/>
      <c r="IO277"/>
      <c r="IP277"/>
      <c r="IQ277"/>
      <c r="IR277"/>
      <c r="IS277"/>
      <c r="IT277"/>
      <c r="IU277"/>
      <c r="IV277"/>
    </row>
    <row r="278" spans="1:256" s="117" customFormat="1" ht="12.75" customHeight="1">
      <c r="A278" s="132"/>
      <c r="B278" s="141"/>
      <c r="C278" s="7">
        <v>4440</v>
      </c>
      <c r="D278" s="129" t="s">
        <v>189</v>
      </c>
      <c r="E278" s="133">
        <v>1610</v>
      </c>
      <c r="F278" s="133">
        <v>2973</v>
      </c>
      <c r="G278" s="121">
        <f>F278</f>
        <v>2973</v>
      </c>
      <c r="H278" s="121"/>
      <c r="I278" s="131"/>
      <c r="J278" s="131"/>
      <c r="K278" s="131"/>
      <c r="L278" s="131"/>
      <c r="M278" s="116"/>
      <c r="IK278" s="2"/>
      <c r="IL278" s="2"/>
      <c r="IM278"/>
      <c r="IN278"/>
      <c r="IO278"/>
      <c r="IP278"/>
      <c r="IQ278"/>
      <c r="IR278"/>
      <c r="IS278"/>
      <c r="IT278"/>
      <c r="IU278"/>
      <c r="IV278"/>
    </row>
    <row r="279" spans="1:256" s="117" customFormat="1" ht="12.75" customHeight="1">
      <c r="A279" s="132"/>
      <c r="B279" s="141"/>
      <c r="C279" s="118">
        <v>6050</v>
      </c>
      <c r="D279" s="119" t="s">
        <v>165</v>
      </c>
      <c r="E279" s="135">
        <v>200000</v>
      </c>
      <c r="F279" s="135">
        <f>3!H15+3!H16+3a!H21</f>
        <v>53000</v>
      </c>
      <c r="G279" s="121"/>
      <c r="H279" s="121"/>
      <c r="I279" s="131"/>
      <c r="J279" s="131"/>
      <c r="K279" s="131"/>
      <c r="L279" s="121">
        <f>F279</f>
        <v>53000</v>
      </c>
      <c r="M279" s="116"/>
      <c r="IK279" s="2"/>
      <c r="IL279" s="2"/>
      <c r="IM279"/>
      <c r="IN279"/>
      <c r="IO279"/>
      <c r="IP279"/>
      <c r="IQ279"/>
      <c r="IR279"/>
      <c r="IS279"/>
      <c r="IT279"/>
      <c r="IU279"/>
      <c r="IV279"/>
    </row>
    <row r="280" spans="1:256" s="117" customFormat="1" ht="13.5">
      <c r="A280" s="79">
        <v>921</v>
      </c>
      <c r="B280" s="80" t="s">
        <v>237</v>
      </c>
      <c r="C280" s="80"/>
      <c r="D280" s="80"/>
      <c r="E280" s="171">
        <f>SUM(E281,E283)</f>
        <v>325000</v>
      </c>
      <c r="F280" s="171">
        <f>SUM(F281,F283)</f>
        <v>355000</v>
      </c>
      <c r="G280" s="172">
        <f>SUM(G281,G283)</f>
        <v>355000</v>
      </c>
      <c r="H280" s="172">
        <f>SUM(H281,H283)</f>
        <v>0</v>
      </c>
      <c r="I280" s="172">
        <f>SUM(I281,I283)</f>
        <v>355000</v>
      </c>
      <c r="J280" s="173">
        <f>SUM(J281,J283)</f>
        <v>0</v>
      </c>
      <c r="K280" s="173">
        <f>SUM(K281,K283)</f>
        <v>0</v>
      </c>
      <c r="L280" s="173">
        <f>SUM(L281,L283)</f>
        <v>0</v>
      </c>
      <c r="M280" s="116"/>
      <c r="IK280" s="2"/>
      <c r="IL280" s="2"/>
      <c r="IM280"/>
      <c r="IN280"/>
      <c r="IO280"/>
      <c r="IP280"/>
      <c r="IQ280"/>
      <c r="IR280"/>
      <c r="IS280"/>
      <c r="IT280"/>
      <c r="IU280"/>
      <c r="IV280"/>
    </row>
    <row r="281" spans="1:256" s="188" customFormat="1" ht="12.75">
      <c r="A281" s="132"/>
      <c r="B281" s="83">
        <v>92109</v>
      </c>
      <c r="C281" s="56" t="s">
        <v>238</v>
      </c>
      <c r="D281" s="56"/>
      <c r="E281" s="154">
        <f>SUM(E282)</f>
        <v>245000</v>
      </c>
      <c r="F281" s="154">
        <f>SUM(F282)</f>
        <v>270000</v>
      </c>
      <c r="G281" s="155">
        <f>SUM(G282)</f>
        <v>270000</v>
      </c>
      <c r="H281" s="155">
        <f>SUM(H282)</f>
        <v>0</v>
      </c>
      <c r="I281" s="155">
        <f>SUM(I282)</f>
        <v>270000</v>
      </c>
      <c r="J281" s="156">
        <f>SUM(J282)</f>
        <v>0</v>
      </c>
      <c r="K281" s="156">
        <f>SUM(K282)</f>
        <v>0</v>
      </c>
      <c r="L281" s="156">
        <f>SUM(L282)</f>
        <v>0</v>
      </c>
      <c r="M281" s="187"/>
      <c r="IK281" s="2"/>
      <c r="IL281" s="2"/>
      <c r="IM281"/>
      <c r="IN281"/>
      <c r="IO281"/>
      <c r="IP281"/>
      <c r="IQ281"/>
      <c r="IR281"/>
      <c r="IS281"/>
      <c r="IT281"/>
      <c r="IU281"/>
      <c r="IV281"/>
    </row>
    <row r="282" spans="1:256" s="188" customFormat="1" ht="12.75">
      <c r="A282" s="132"/>
      <c r="B282" s="192"/>
      <c r="C282" s="166">
        <v>2480</v>
      </c>
      <c r="D282" s="193" t="s">
        <v>239</v>
      </c>
      <c r="E282" s="38">
        <v>245000</v>
      </c>
      <c r="F282" s="38">
        <v>270000</v>
      </c>
      <c r="G282" s="121">
        <f>F282</f>
        <v>270000</v>
      </c>
      <c r="H282" s="121"/>
      <c r="I282" s="121">
        <f>F282</f>
        <v>270000</v>
      </c>
      <c r="J282" s="121"/>
      <c r="K282" s="121"/>
      <c r="L282" s="121"/>
      <c r="M282" s="187"/>
      <c r="IK282" s="2"/>
      <c r="IL282" s="2"/>
      <c r="IM282"/>
      <c r="IN282"/>
      <c r="IO282"/>
      <c r="IP282"/>
      <c r="IQ282"/>
      <c r="IR282"/>
      <c r="IS282"/>
      <c r="IT282"/>
      <c r="IU282"/>
      <c r="IV282"/>
    </row>
    <row r="283" spans="1:256" s="188" customFormat="1" ht="12.75">
      <c r="A283" s="132"/>
      <c r="B283" s="83">
        <v>92116</v>
      </c>
      <c r="C283" s="56" t="s">
        <v>240</v>
      </c>
      <c r="D283" s="56"/>
      <c r="E283" s="17">
        <f>SUM(E284)</f>
        <v>80000</v>
      </c>
      <c r="F283" s="17">
        <f>SUM(F284)</f>
        <v>85000</v>
      </c>
      <c r="G283" s="123">
        <f>SUM(G284)</f>
        <v>85000</v>
      </c>
      <c r="H283" s="123">
        <f>SUM(H284)</f>
        <v>0</v>
      </c>
      <c r="I283" s="123">
        <f>SUM(I284)</f>
        <v>85000</v>
      </c>
      <c r="J283" s="123">
        <f>SUM(J284)</f>
        <v>0</v>
      </c>
      <c r="K283" s="123">
        <f>SUM(K284)</f>
        <v>0</v>
      </c>
      <c r="L283" s="123">
        <f>SUM(L284)</f>
        <v>0</v>
      </c>
      <c r="M283" s="187"/>
      <c r="IK283" s="2"/>
      <c r="IL283" s="2"/>
      <c r="IM283"/>
      <c r="IN283"/>
      <c r="IO283"/>
      <c r="IP283"/>
      <c r="IQ283"/>
      <c r="IR283"/>
      <c r="IS283"/>
      <c r="IT283"/>
      <c r="IU283"/>
      <c r="IV283"/>
    </row>
    <row r="284" spans="1:256" s="188" customFormat="1" ht="12.75">
      <c r="A284" s="161"/>
      <c r="B284" s="192"/>
      <c r="C284" s="166">
        <v>2480</v>
      </c>
      <c r="D284" s="193" t="s">
        <v>239</v>
      </c>
      <c r="E284" s="38">
        <v>80000</v>
      </c>
      <c r="F284" s="38">
        <v>85000</v>
      </c>
      <c r="G284" s="121">
        <f>F284</f>
        <v>85000</v>
      </c>
      <c r="H284" s="121"/>
      <c r="I284" s="121">
        <f>F284</f>
        <v>85000</v>
      </c>
      <c r="J284" s="121"/>
      <c r="K284" s="121"/>
      <c r="L284" s="121"/>
      <c r="M284" s="187"/>
      <c r="IK284" s="2"/>
      <c r="IL284" s="2"/>
      <c r="IM284"/>
      <c r="IN284"/>
      <c r="IO284"/>
      <c r="IP284"/>
      <c r="IQ284"/>
      <c r="IR284"/>
      <c r="IS284"/>
      <c r="IT284"/>
      <c r="IU284"/>
      <c r="IV284"/>
    </row>
    <row r="285" spans="1:256" s="188" customFormat="1" ht="13.5">
      <c r="A285" s="79">
        <v>926</v>
      </c>
      <c r="B285" s="80" t="s">
        <v>241</v>
      </c>
      <c r="C285" s="80"/>
      <c r="D285" s="80"/>
      <c r="E285" s="112">
        <f>SUM(E286)</f>
        <v>28000</v>
      </c>
      <c r="F285" s="112">
        <f>SUM(F286)</f>
        <v>35000</v>
      </c>
      <c r="G285" s="131">
        <f>SUM(G286)</f>
        <v>35000</v>
      </c>
      <c r="H285" s="131">
        <f>SUM(H286)</f>
        <v>0</v>
      </c>
      <c r="I285" s="131">
        <f>SUM(I286)</f>
        <v>35000</v>
      </c>
      <c r="J285" s="131">
        <f>SUM(J286)</f>
        <v>0</v>
      </c>
      <c r="K285" s="131">
        <f>SUM(K286)</f>
        <v>0</v>
      </c>
      <c r="L285" s="131">
        <f>SUM(L286)</f>
        <v>0</v>
      </c>
      <c r="M285" s="187"/>
      <c r="IK285" s="2"/>
      <c r="IL285" s="2"/>
      <c r="IM285"/>
      <c r="IN285"/>
      <c r="IO285"/>
      <c r="IP285"/>
      <c r="IQ285"/>
      <c r="IR285"/>
      <c r="IS285"/>
      <c r="IT285"/>
      <c r="IU285"/>
      <c r="IV285"/>
    </row>
    <row r="286" spans="1:256" s="114" customFormat="1" ht="12.75" customHeight="1">
      <c r="A286" s="132"/>
      <c r="B286" s="83">
        <v>92695</v>
      </c>
      <c r="C286" s="56" t="s">
        <v>23</v>
      </c>
      <c r="D286" s="56"/>
      <c r="E286" s="17">
        <f>SUM(E287)</f>
        <v>28000</v>
      </c>
      <c r="F286" s="17">
        <f>SUM(F287)</f>
        <v>35000</v>
      </c>
      <c r="G286" s="123">
        <f>SUM(G287)</f>
        <v>35000</v>
      </c>
      <c r="H286" s="123">
        <f>SUM(H287)</f>
        <v>0</v>
      </c>
      <c r="I286" s="123">
        <f>SUM(I287)</f>
        <v>35000</v>
      </c>
      <c r="J286" s="123">
        <f>SUM(J287)</f>
        <v>0</v>
      </c>
      <c r="K286" s="123">
        <f>SUM(K287)</f>
        <v>0</v>
      </c>
      <c r="L286" s="123">
        <f>SUM(L287)</f>
        <v>0</v>
      </c>
      <c r="M286" s="113"/>
      <c r="IK286" s="2"/>
      <c r="IL286" s="2"/>
      <c r="IM286"/>
      <c r="IN286"/>
      <c r="IO286"/>
      <c r="IP286"/>
      <c r="IQ286"/>
      <c r="IR286"/>
      <c r="IS286"/>
      <c r="IT286"/>
      <c r="IU286"/>
      <c r="IV286"/>
    </row>
    <row r="287" spans="1:256" s="117" customFormat="1" ht="27.75" customHeight="1">
      <c r="A287" s="194"/>
      <c r="B287" s="195"/>
      <c r="C287" s="196">
        <v>2820</v>
      </c>
      <c r="D287" s="197" t="s">
        <v>242</v>
      </c>
      <c r="E287" s="198">
        <v>28000</v>
      </c>
      <c r="F287" s="198">
        <v>35000</v>
      </c>
      <c r="G287" s="121">
        <f>F287</f>
        <v>35000</v>
      </c>
      <c r="H287" s="121"/>
      <c r="I287" s="121">
        <f>F287</f>
        <v>35000</v>
      </c>
      <c r="J287" s="131"/>
      <c r="K287" s="131"/>
      <c r="L287" s="131"/>
      <c r="M287" s="116"/>
      <c r="IK287" s="2"/>
      <c r="IL287" s="2"/>
      <c r="IM287"/>
      <c r="IN287"/>
      <c r="IO287"/>
      <c r="IP287"/>
      <c r="IQ287"/>
      <c r="IR287"/>
      <c r="IS287"/>
      <c r="IT287"/>
      <c r="IU287"/>
      <c r="IV287"/>
    </row>
    <row r="288" spans="1:13" ht="17.25">
      <c r="A288" s="199" t="s">
        <v>243</v>
      </c>
      <c r="B288" s="199"/>
      <c r="C288" s="199"/>
      <c r="D288" s="199"/>
      <c r="E288" s="200">
        <f>SUM(E285,E280,E244,E199,E188,E120,E117,E114,E110,E95,E86,E44,E52,E32,E26,E23,E11,E48,E241)</f>
        <v>7357657.54</v>
      </c>
      <c r="F288" s="200">
        <f>SUM(F285,F280,F244,F199,F188,F120,F117,F114,F110,F95,F86,F44,F52,F32,F26,F23,F11,F48,F241)</f>
        <v>7745014</v>
      </c>
      <c r="G288" s="200">
        <f>SUM(G285,G280,G244,G199,G188,G120,G117,G114,G110,G95,G86,G44,G52,G32,G26,G23,G11,G48,G241)</f>
        <v>6406514</v>
      </c>
      <c r="H288" s="201">
        <f>SUM(H285,H280,H244,H199,H188,H120,H117,H114,H110,H95,H86,H44,H52,H32,H26,H23,H11,H48,H241)</f>
        <v>2828434</v>
      </c>
      <c r="I288" s="201">
        <f>SUM(I285,I280,I244,I199,I188,I120,I117,I114,I110,I95,I86,I44,I52,I32,I26,I23,I11,I48,I241)</f>
        <v>394500</v>
      </c>
      <c r="J288" s="201">
        <f>SUM(J285,J280,J244,J199,J188,J120,J117,J114,J110,J95,J86,J44,J52,J32,J26,J23,J11,J48,J241)</f>
        <v>0</v>
      </c>
      <c r="K288" s="201">
        <f>SUM(K285,K280,K244,K199,K188,K120,K117,K114,K110,K95,K86,K44,K52,K32,K26,K23,K11,K48,K241)</f>
        <v>0</v>
      </c>
      <c r="L288" s="201">
        <f>SUM(L285,L280,L244,L199,L188,L120,L117,L114,L110,L95,L86,L44,L52,L32,L26,L23,L11,L48,L241)</f>
        <v>1338000</v>
      </c>
      <c r="M288" s="101"/>
    </row>
    <row r="289" spans="1:8" ht="17.25">
      <c r="A289" s="202"/>
      <c r="B289" s="202"/>
      <c r="C289" s="202"/>
      <c r="D289" s="202"/>
      <c r="E289" s="203"/>
      <c r="F289" s="203"/>
      <c r="G289" s="203"/>
      <c r="H289" s="203"/>
    </row>
    <row r="290" spans="1:8" ht="17.25">
      <c r="A290" s="202"/>
      <c r="B290" s="202"/>
      <c r="C290" s="202"/>
      <c r="D290" s="202"/>
      <c r="E290" s="203"/>
      <c r="F290" s="203"/>
      <c r="G290" s="203"/>
      <c r="H290" s="203"/>
    </row>
    <row r="291" spans="1:8" ht="17.25">
      <c r="A291" s="202"/>
      <c r="B291" s="202"/>
      <c r="C291" s="202"/>
      <c r="D291" s="202"/>
      <c r="E291" s="203"/>
      <c r="F291" s="203"/>
      <c r="G291" s="203"/>
      <c r="H291" s="203"/>
    </row>
    <row r="292" spans="1:8" ht="17.25">
      <c r="A292" s="202"/>
      <c r="B292" s="202"/>
      <c r="C292" s="202"/>
      <c r="D292" s="202"/>
      <c r="E292" s="203"/>
      <c r="F292" s="203"/>
      <c r="G292" s="203"/>
      <c r="H292" s="203"/>
    </row>
    <row r="293" spans="1:8" ht="17.25">
      <c r="A293" s="202"/>
      <c r="B293" s="202"/>
      <c r="C293" s="202"/>
      <c r="D293" s="202"/>
      <c r="E293" s="203"/>
      <c r="F293" s="203"/>
      <c r="G293" s="203"/>
      <c r="H293" s="203"/>
    </row>
    <row r="294" spans="1:8" ht="17.25">
      <c r="A294" s="202"/>
      <c r="B294" s="202"/>
      <c r="C294" s="202"/>
      <c r="D294" s="202"/>
      <c r="E294" s="203"/>
      <c r="F294" s="203"/>
      <c r="G294" s="203"/>
      <c r="H294" s="203"/>
    </row>
    <row r="295" spans="4:8" ht="12.75">
      <c r="D295" s="148" t="s">
        <v>244</v>
      </c>
      <c r="E295" s="58">
        <f>E288-E299</f>
        <v>6615522.54</v>
      </c>
      <c r="F295" s="58">
        <f>F288-F299</f>
        <v>6407014</v>
      </c>
      <c r="G295" s="204">
        <f>G288-F295</f>
        <v>-500</v>
      </c>
      <c r="H295" s="204"/>
    </row>
    <row r="296" spans="4:8" ht="12.75">
      <c r="D296" s="205" t="s">
        <v>245</v>
      </c>
      <c r="E296" s="58">
        <f>E268+E269+E270+E271+E248+E249+E250+E251+E225+E226+E227+E228+E206+E207+E208+E173+E175+E176+E154+E155+E156+E157+E144+E145+E146+E147+E124+E125+E126+E127+E68+E69+E70+E71+E54+E55+E56+E57+E273+E112+E72+E50+E209+E174+E28+E36+E209</f>
        <v>2641324</v>
      </c>
      <c r="F296" s="58">
        <f>F268+F269+F270+F271+F248+F249+F250+F251+F225+F226+F227+F228+F206+F207+F208+F173+F175+F176+F154+F155+F156+F157+F144+F145+F146+F147+F124+F125+F126+F127+F68+F69+F70+F71+F54+F55+F56+F57+F273+F112+F72+F50+F209+F174+F28+F36+F209</f>
        <v>2842377</v>
      </c>
      <c r="G296" s="204"/>
      <c r="H296" s="204"/>
    </row>
    <row r="297" spans="4:8" ht="12.75">
      <c r="D297" s="205" t="s">
        <v>246</v>
      </c>
      <c r="E297" s="58">
        <f>E282+E284+E287</f>
        <v>353000</v>
      </c>
      <c r="F297" s="58">
        <f>F282+F284+F287</f>
        <v>390000</v>
      </c>
      <c r="G297" s="204"/>
      <c r="H297" s="204"/>
    </row>
    <row r="298" spans="4:8" ht="12.75">
      <c r="D298" s="205" t="s">
        <v>247</v>
      </c>
      <c r="E298" s="58">
        <f>E116</f>
        <v>30000</v>
      </c>
      <c r="F298" s="58">
        <f>F116</f>
        <v>20000</v>
      </c>
      <c r="G298" s="204"/>
      <c r="H298" s="204"/>
    </row>
    <row r="299" spans="4:8" ht="12.75">
      <c r="D299" s="148" t="s">
        <v>248</v>
      </c>
      <c r="E299" s="58">
        <f>E300</f>
        <v>742135</v>
      </c>
      <c r="F299" s="58">
        <f>SUM(F300:F302)</f>
        <v>1338000</v>
      </c>
      <c r="G299" s="204"/>
      <c r="H299" s="204"/>
    </row>
    <row r="300" spans="4:8" ht="12.75">
      <c r="D300" s="206" t="s">
        <v>249</v>
      </c>
      <c r="E300" s="58">
        <f>E279+E13+E31+E47+E85+E102+E43+E109+E240</f>
        <v>742135</v>
      </c>
      <c r="F300" s="58">
        <f>F279+F13+F31+F47+F85+F102+F43+F109+F240+F171+F263</f>
        <v>288000</v>
      </c>
      <c r="G300" s="204"/>
      <c r="H300" s="204"/>
    </row>
    <row r="301" spans="4:8" ht="12.75">
      <c r="D301" s="206" t="s">
        <v>250</v>
      </c>
      <c r="E301" s="58"/>
      <c r="F301" s="58">
        <f>F17</f>
        <v>625000</v>
      </c>
      <c r="G301" s="204"/>
      <c r="H301" s="204"/>
    </row>
    <row r="302" spans="4:8" ht="12.75">
      <c r="D302" s="206" t="s">
        <v>251</v>
      </c>
      <c r="E302" s="207"/>
      <c r="F302" s="58">
        <f>F18</f>
        <v>425000</v>
      </c>
      <c r="G302" s="204"/>
      <c r="H302" s="204"/>
    </row>
    <row r="303" spans="4:7" ht="12.75">
      <c r="D303" s="208"/>
      <c r="E303" s="101"/>
      <c r="F303" s="101"/>
      <c r="G303" s="101"/>
    </row>
    <row r="304" spans="4:7" ht="12.75">
      <c r="D304" s="208"/>
      <c r="E304" s="101"/>
      <c r="F304" s="101"/>
      <c r="G304" s="101"/>
    </row>
    <row r="305" ht="12.75">
      <c r="G305" s="209"/>
    </row>
    <row r="306" ht="12.75">
      <c r="G306" s="209"/>
    </row>
    <row r="307" ht="12.75">
      <c r="G307" s="209"/>
    </row>
    <row r="308" ht="12.75">
      <c r="G308" s="210"/>
    </row>
    <row r="310" ht="12.75">
      <c r="G310" s="210"/>
    </row>
    <row r="311" ht="12.75">
      <c r="G311" s="210"/>
    </row>
  </sheetData>
  <mergeCells count="76">
    <mergeCell ref="A5:E5"/>
    <mergeCell ref="A7:A9"/>
    <mergeCell ref="B7:B9"/>
    <mergeCell ref="C7:C9"/>
    <mergeCell ref="D7:D9"/>
    <mergeCell ref="E7:E9"/>
    <mergeCell ref="F7:F9"/>
    <mergeCell ref="G7:L7"/>
    <mergeCell ref="G8:G9"/>
    <mergeCell ref="H8:K8"/>
    <mergeCell ref="L8:L9"/>
    <mergeCell ref="B11:D11"/>
    <mergeCell ref="C12:D12"/>
    <mergeCell ref="C14:D14"/>
    <mergeCell ref="C16:D16"/>
    <mergeCell ref="C19:D19"/>
    <mergeCell ref="B23:D23"/>
    <mergeCell ref="C24:D24"/>
    <mergeCell ref="B26:D26"/>
    <mergeCell ref="C27:D27"/>
    <mergeCell ref="B32:D32"/>
    <mergeCell ref="C33:D33"/>
    <mergeCell ref="B44:D44"/>
    <mergeCell ref="C45:D45"/>
    <mergeCell ref="B48:D48"/>
    <mergeCell ref="C49:D49"/>
    <mergeCell ref="B52:D52"/>
    <mergeCell ref="C53:D53"/>
    <mergeCell ref="C60:D60"/>
    <mergeCell ref="C65:D65"/>
    <mergeCell ref="B86:D86"/>
    <mergeCell ref="C87:D87"/>
    <mergeCell ref="C90:D90"/>
    <mergeCell ref="B95:D95"/>
    <mergeCell ref="C96:D96"/>
    <mergeCell ref="C103:D103"/>
    <mergeCell ref="C105:D105"/>
    <mergeCell ref="C107:D107"/>
    <mergeCell ref="B110:D110"/>
    <mergeCell ref="C111:D111"/>
    <mergeCell ref="B114:D114"/>
    <mergeCell ref="C115:D115"/>
    <mergeCell ref="B117:D117"/>
    <mergeCell ref="C118:D118"/>
    <mergeCell ref="B120:D120"/>
    <mergeCell ref="C121:D121"/>
    <mergeCell ref="C141:D141"/>
    <mergeCell ref="C151:D151"/>
    <mergeCell ref="C172:D172"/>
    <mergeCell ref="C181:D181"/>
    <mergeCell ref="C185:D185"/>
    <mergeCell ref="B188:D188"/>
    <mergeCell ref="C189:D189"/>
    <mergeCell ref="B199:D199"/>
    <mergeCell ref="C200:D200"/>
    <mergeCell ref="C202:D202"/>
    <mergeCell ref="C216:D216"/>
    <mergeCell ref="C218:D218"/>
    <mergeCell ref="C220:D220"/>
    <mergeCell ref="C222:D222"/>
    <mergeCell ref="C236:D236"/>
    <mergeCell ref="C238:D238"/>
    <mergeCell ref="B241:D241"/>
    <mergeCell ref="C242:D242"/>
    <mergeCell ref="B244:D244"/>
    <mergeCell ref="C245:D245"/>
    <mergeCell ref="C257:D257"/>
    <mergeCell ref="C259:D259"/>
    <mergeCell ref="C264:D264"/>
    <mergeCell ref="C266:D266"/>
    <mergeCell ref="B280:D280"/>
    <mergeCell ref="C281:D281"/>
    <mergeCell ref="C283:D283"/>
    <mergeCell ref="B285:D285"/>
    <mergeCell ref="C286:D286"/>
    <mergeCell ref="A288:D288"/>
  </mergeCells>
  <printOptions horizontalCentered="1"/>
  <pageMargins left="0.7875" right="0.7875" top="0.7875" bottom="0.39375" header="0.5118055555555555" footer="0.5118055555555555"/>
  <pageSetup horizontalDpi="300" verticalDpi="300" orientation="landscape" paperSize="9" scale="59"/>
  <rowBreaks count="6" manualBreakCount="6">
    <brk id="51" max="255" man="1"/>
    <brk id="94" max="255" man="1"/>
    <brk id="150" max="255" man="1"/>
    <brk id="198" max="255" man="1"/>
    <brk id="240" max="255" man="1"/>
    <brk id="2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55" workbookViewId="0" topLeftCell="A7">
      <selection activeCell="I37" sqref="I37"/>
    </sheetView>
  </sheetViews>
  <sheetFormatPr defaultColWidth="9.00390625" defaultRowHeight="12.75"/>
  <cols>
    <col min="1" max="1" width="5.125" style="102" customWidth="1"/>
    <col min="2" max="2" width="6.75390625" style="102" customWidth="1"/>
    <col min="3" max="3" width="6.125" style="102" customWidth="1"/>
    <col min="4" max="4" width="61.25390625" style="102" customWidth="1"/>
    <col min="5" max="5" width="12.75390625" style="102" customWidth="1"/>
    <col min="6" max="6" width="13.25390625" style="102" customWidth="1"/>
    <col min="7" max="8" width="11.875" style="102" customWidth="1"/>
    <col min="9" max="9" width="9.75390625" style="102" customWidth="1"/>
    <col min="10" max="11" width="9.00390625" style="102" customWidth="1"/>
    <col min="12" max="12" width="9.625" style="102" customWidth="1"/>
    <col min="13" max="252" width="9.00390625" style="102" customWidth="1"/>
  </cols>
  <sheetData>
    <row r="1" spans="4:8" ht="17.25">
      <c r="D1" s="211" t="s">
        <v>252</v>
      </c>
      <c r="E1"/>
      <c r="F1" s="212"/>
      <c r="G1" s="212"/>
      <c r="H1" s="213"/>
    </row>
    <row r="2" spans="5:12" ht="36.75">
      <c r="E2" s="107" t="s">
        <v>253</v>
      </c>
      <c r="F2" s="107" t="s">
        <v>7</v>
      </c>
      <c r="G2" s="107" t="s">
        <v>254</v>
      </c>
      <c r="H2" s="214"/>
      <c r="I2" s="214"/>
      <c r="J2" s="214"/>
      <c r="K2" s="214"/>
      <c r="L2" s="214"/>
    </row>
    <row r="3" spans="5:12" ht="12.75">
      <c r="E3" s="215">
        <f>1!E74</f>
        <v>1811044</v>
      </c>
      <c r="F3" s="215">
        <f>1!F74</f>
        <v>1864281</v>
      </c>
      <c r="G3" s="216">
        <f>F3-E3</f>
        <v>53237</v>
      </c>
      <c r="H3" s="214"/>
      <c r="I3" s="214"/>
      <c r="J3" s="214"/>
      <c r="K3" s="214"/>
      <c r="L3" s="214"/>
    </row>
    <row r="4" spans="5:12" ht="12.75">
      <c r="E4" s="217">
        <f>E5-E3</f>
        <v>478756</v>
      </c>
      <c r="F4" s="217">
        <f>F5-F3</f>
        <v>610361</v>
      </c>
      <c r="G4" s="218">
        <f>F4-E4</f>
        <v>131605</v>
      </c>
      <c r="H4" s="214"/>
      <c r="I4" s="214"/>
      <c r="J4" s="214"/>
      <c r="K4" s="214"/>
      <c r="L4" s="214"/>
    </row>
    <row r="5" spans="1:12" ht="15">
      <c r="A5" s="53">
        <v>801</v>
      </c>
      <c r="B5" s="219" t="s">
        <v>118</v>
      </c>
      <c r="C5" s="219"/>
      <c r="D5" s="219"/>
      <c r="E5" s="220">
        <f>SUM(E6,E26,E46,E66,E87,E96,E100,E56)</f>
        <v>2289800</v>
      </c>
      <c r="F5" s="220">
        <f>SUM(F6,F26,F46,F66,F87,F96,F100,F56)</f>
        <v>2474642</v>
      </c>
      <c r="G5" s="220">
        <f>SUM(G6,G26,G46,G66,G87,G96,G100,G56)</f>
        <v>184842</v>
      </c>
      <c r="H5"/>
      <c r="I5"/>
      <c r="J5" s="101"/>
      <c r="K5" s="101"/>
      <c r="L5" s="101"/>
    </row>
    <row r="6" spans="1:12" ht="12.75" customHeight="1">
      <c r="A6" s="54"/>
      <c r="B6" s="221">
        <v>80101</v>
      </c>
      <c r="C6" s="222" t="s">
        <v>255</v>
      </c>
      <c r="D6" s="222"/>
      <c r="E6" s="223">
        <f>SUM(E7:E25)</f>
        <v>683702</v>
      </c>
      <c r="F6" s="223">
        <f>SUM(F7:F25)</f>
        <v>731632</v>
      </c>
      <c r="G6" s="223">
        <f>SUM(G7:G25)</f>
        <v>47930</v>
      </c>
      <c r="H6" s="209"/>
      <c r="I6" s="209"/>
      <c r="J6" s="101"/>
      <c r="K6" s="101"/>
      <c r="L6" s="101"/>
    </row>
    <row r="7" spans="1:12" ht="12.75" customHeight="1">
      <c r="A7" s="54"/>
      <c r="B7" s="224"/>
      <c r="C7" s="166">
        <v>3020</v>
      </c>
      <c r="D7" s="167" t="s">
        <v>197</v>
      </c>
      <c r="E7" s="225">
        <v>39000</v>
      </c>
      <c r="F7" s="225">
        <v>42010</v>
      </c>
      <c r="G7" s="225">
        <f>F7-E7</f>
        <v>3010</v>
      </c>
      <c r="H7" s="209"/>
      <c r="I7" s="209"/>
      <c r="J7" s="101"/>
      <c r="K7" s="101"/>
      <c r="L7" s="101"/>
    </row>
    <row r="8" spans="1:12" ht="15">
      <c r="A8" s="54"/>
      <c r="B8" s="224"/>
      <c r="C8" s="124">
        <v>3040</v>
      </c>
      <c r="D8" s="67" t="s">
        <v>198</v>
      </c>
      <c r="E8" s="225">
        <v>4000</v>
      </c>
      <c r="F8" s="225">
        <v>4500</v>
      </c>
      <c r="G8" s="225">
        <f>F8-E8</f>
        <v>500</v>
      </c>
      <c r="H8" s="209"/>
      <c r="I8" s="209"/>
      <c r="J8" s="101"/>
      <c r="K8" s="101"/>
      <c r="L8" s="101"/>
    </row>
    <row r="9" spans="1:12" ht="12.75" customHeight="1">
      <c r="A9" s="54"/>
      <c r="B9" s="224"/>
      <c r="C9" s="166">
        <v>4010</v>
      </c>
      <c r="D9" s="167" t="s">
        <v>184</v>
      </c>
      <c r="E9" s="225">
        <v>407134</v>
      </c>
      <c r="F9" s="225">
        <v>455760</v>
      </c>
      <c r="G9" s="225">
        <f>F9-E9</f>
        <v>48626</v>
      </c>
      <c r="H9" s="209"/>
      <c r="I9" s="209"/>
      <c r="J9" s="101"/>
      <c r="K9" s="101"/>
      <c r="L9" s="101"/>
    </row>
    <row r="10" spans="1:12" ht="12.75" customHeight="1">
      <c r="A10" s="54"/>
      <c r="B10" s="224"/>
      <c r="C10" s="166">
        <v>4040</v>
      </c>
      <c r="D10" s="167" t="s">
        <v>215</v>
      </c>
      <c r="E10" s="226">
        <v>31000</v>
      </c>
      <c r="F10" s="226">
        <v>36800</v>
      </c>
      <c r="G10" s="225">
        <f>F10-E10</f>
        <v>5800</v>
      </c>
      <c r="H10" s="101"/>
      <c r="I10" s="101"/>
      <c r="J10" s="101"/>
      <c r="K10" s="101"/>
      <c r="L10" s="101"/>
    </row>
    <row r="11" spans="1:12" ht="12.75" customHeight="1">
      <c r="A11" s="54"/>
      <c r="B11" s="224"/>
      <c r="C11" s="166">
        <v>4110</v>
      </c>
      <c r="D11" s="167" t="s">
        <v>186</v>
      </c>
      <c r="E11" s="225">
        <v>75500</v>
      </c>
      <c r="F11" s="225">
        <v>74900</v>
      </c>
      <c r="G11" s="225">
        <f>F11-E11</f>
        <v>-600</v>
      </c>
      <c r="H11" s="101"/>
      <c r="I11" s="101"/>
      <c r="J11" s="101"/>
      <c r="K11" s="101"/>
      <c r="L11" s="101"/>
    </row>
    <row r="12" spans="1:12" ht="12.75" customHeight="1">
      <c r="A12" s="54"/>
      <c r="B12" s="224"/>
      <c r="C12" s="166">
        <v>4120</v>
      </c>
      <c r="D12" s="167" t="s">
        <v>187</v>
      </c>
      <c r="E12" s="225">
        <v>11000</v>
      </c>
      <c r="F12" s="225">
        <v>12300</v>
      </c>
      <c r="G12" s="225">
        <f>F12-E12</f>
        <v>1300</v>
      </c>
      <c r="H12" s="101"/>
      <c r="I12" s="101"/>
      <c r="J12" s="101"/>
      <c r="K12" s="101"/>
      <c r="L12" s="101"/>
    </row>
    <row r="13" spans="1:12" ht="12.75" customHeight="1">
      <c r="A13" s="54"/>
      <c r="B13" s="224"/>
      <c r="C13" s="166">
        <v>4210</v>
      </c>
      <c r="D13" s="167" t="s">
        <v>170</v>
      </c>
      <c r="E13" s="225">
        <v>30000</v>
      </c>
      <c r="F13" s="225">
        <v>36500</v>
      </c>
      <c r="G13" s="225">
        <f>F13-E13</f>
        <v>6500</v>
      </c>
      <c r="H13" s="101"/>
      <c r="I13" s="101"/>
      <c r="J13" s="101"/>
      <c r="K13" s="101"/>
      <c r="L13" s="101"/>
    </row>
    <row r="14" spans="1:12" ht="12.75" customHeight="1">
      <c r="A14" s="54"/>
      <c r="B14" s="224"/>
      <c r="C14" s="166">
        <v>4240</v>
      </c>
      <c r="D14" s="167" t="s">
        <v>216</v>
      </c>
      <c r="E14" s="225">
        <v>1000</v>
      </c>
      <c r="F14" s="225">
        <v>1500</v>
      </c>
      <c r="G14" s="225">
        <f>F14-E14</f>
        <v>500</v>
      </c>
      <c r="H14" s="209"/>
      <c r="I14" s="209"/>
      <c r="J14" s="209"/>
      <c r="K14" s="209"/>
      <c r="L14" s="209"/>
    </row>
    <row r="15" spans="1:12" ht="12.75" customHeight="1">
      <c r="A15" s="54"/>
      <c r="B15" s="224"/>
      <c r="C15" s="166">
        <v>4260</v>
      </c>
      <c r="D15" s="167" t="s">
        <v>199</v>
      </c>
      <c r="E15" s="225">
        <v>6000</v>
      </c>
      <c r="F15" s="225">
        <v>6500</v>
      </c>
      <c r="G15" s="225">
        <f>F15-E15</f>
        <v>500</v>
      </c>
      <c r="H15" s="204"/>
      <c r="I15" s="209"/>
      <c r="J15" s="209"/>
      <c r="K15" s="209"/>
      <c r="L15" s="209"/>
    </row>
    <row r="16" spans="1:12" ht="12.75" customHeight="1">
      <c r="A16" s="54"/>
      <c r="B16" s="224"/>
      <c r="C16" s="124">
        <v>4270</v>
      </c>
      <c r="D16" s="129" t="s">
        <v>217</v>
      </c>
      <c r="E16" s="225">
        <v>20000</v>
      </c>
      <c r="F16" s="225"/>
      <c r="G16" s="225">
        <f>F16-E16</f>
        <v>-20000</v>
      </c>
      <c r="H16" s="204"/>
      <c r="I16" s="209"/>
      <c r="J16" s="209"/>
      <c r="K16" s="209"/>
      <c r="L16" s="209"/>
    </row>
    <row r="17" spans="1:12" ht="12.75" customHeight="1">
      <c r="A17" s="54"/>
      <c r="B17" s="224"/>
      <c r="C17" s="124">
        <v>4280</v>
      </c>
      <c r="D17" s="129" t="s">
        <v>218</v>
      </c>
      <c r="E17" s="225"/>
      <c r="F17" s="225">
        <v>1000</v>
      </c>
      <c r="G17" s="225">
        <f>F17-E17</f>
        <v>1000</v>
      </c>
      <c r="H17" s="204"/>
      <c r="I17" s="209"/>
      <c r="J17" s="209"/>
      <c r="K17" s="209"/>
      <c r="L17" s="209"/>
    </row>
    <row r="18" spans="1:12" ht="12.75" customHeight="1">
      <c r="A18" s="54"/>
      <c r="B18" s="224"/>
      <c r="C18" s="166">
        <v>4300</v>
      </c>
      <c r="D18" s="167" t="s">
        <v>190</v>
      </c>
      <c r="E18" s="225">
        <v>15000</v>
      </c>
      <c r="F18" s="225">
        <v>12000</v>
      </c>
      <c r="G18" s="225">
        <f>F18-E18</f>
        <v>-3000</v>
      </c>
      <c r="H18" s="204"/>
      <c r="I18" s="209"/>
      <c r="J18" s="209"/>
      <c r="K18" s="209"/>
      <c r="L18" s="209"/>
    </row>
    <row r="19" spans="1:12" ht="12.75" customHeight="1">
      <c r="A19" s="54"/>
      <c r="B19" s="224"/>
      <c r="C19" s="124">
        <v>4350</v>
      </c>
      <c r="D19" s="129" t="s">
        <v>200</v>
      </c>
      <c r="E19" s="225">
        <v>1000</v>
      </c>
      <c r="F19" s="225">
        <v>1000</v>
      </c>
      <c r="G19" s="225">
        <f>F19-E19</f>
        <v>0</v>
      </c>
      <c r="H19" s="204"/>
      <c r="I19" s="209"/>
      <c r="J19" s="209"/>
      <c r="K19" s="209"/>
      <c r="L19" s="209"/>
    </row>
    <row r="20" spans="1:12" ht="12.75" customHeight="1">
      <c r="A20" s="54"/>
      <c r="B20" s="224"/>
      <c r="C20" s="124">
        <v>4370</v>
      </c>
      <c r="D20" s="129" t="s">
        <v>202</v>
      </c>
      <c r="E20" s="225">
        <v>2000</v>
      </c>
      <c r="F20" s="225">
        <v>2000</v>
      </c>
      <c r="G20" s="225">
        <f>F20-E20</f>
        <v>0</v>
      </c>
      <c r="H20" s="204"/>
      <c r="I20" s="209"/>
      <c r="J20" s="209"/>
      <c r="K20" s="209"/>
      <c r="L20" s="209"/>
    </row>
    <row r="21" spans="1:12" ht="12.75" customHeight="1">
      <c r="A21" s="54"/>
      <c r="B21" s="224"/>
      <c r="C21" s="166">
        <v>4410</v>
      </c>
      <c r="D21" s="167" t="s">
        <v>195</v>
      </c>
      <c r="E21" s="225">
        <v>1000</v>
      </c>
      <c r="F21" s="225">
        <v>1500</v>
      </c>
      <c r="G21" s="225">
        <f>F21-E21</f>
        <v>500</v>
      </c>
      <c r="H21" s="204"/>
      <c r="I21" s="209"/>
      <c r="J21" s="209"/>
      <c r="K21" s="209"/>
      <c r="L21" s="209"/>
    </row>
    <row r="22" spans="1:12" ht="12.75" customHeight="1">
      <c r="A22" s="54"/>
      <c r="B22" s="224"/>
      <c r="C22" s="166">
        <v>4430</v>
      </c>
      <c r="D22" s="167" t="s">
        <v>171</v>
      </c>
      <c r="E22" s="225">
        <v>500</v>
      </c>
      <c r="F22" s="225">
        <v>500</v>
      </c>
      <c r="G22" s="225">
        <f>F22-E22</f>
        <v>0</v>
      </c>
      <c r="H22" s="204"/>
      <c r="I22" s="209"/>
      <c r="J22" s="227"/>
      <c r="K22" s="209"/>
      <c r="L22" s="209"/>
    </row>
    <row r="23" spans="1:12" ht="12.75" customHeight="1">
      <c r="A23" s="54"/>
      <c r="B23" s="224"/>
      <c r="C23" s="166">
        <v>4440</v>
      </c>
      <c r="D23" s="167" t="s">
        <v>189</v>
      </c>
      <c r="E23" s="225">
        <v>35568</v>
      </c>
      <c r="F23" s="225">
        <v>38862</v>
      </c>
      <c r="G23" s="225">
        <f>F23-E23</f>
        <v>3294</v>
      </c>
      <c r="H23" s="204"/>
      <c r="I23" s="209"/>
      <c r="J23" s="227"/>
      <c r="K23" s="209"/>
      <c r="L23" s="209"/>
    </row>
    <row r="24" spans="1:12" ht="24.75">
      <c r="A24" s="54"/>
      <c r="B24" s="224"/>
      <c r="C24" s="124">
        <v>4740</v>
      </c>
      <c r="D24" s="20" t="s">
        <v>204</v>
      </c>
      <c r="E24" s="225">
        <v>2000</v>
      </c>
      <c r="F24" s="225">
        <v>2000</v>
      </c>
      <c r="G24" s="225">
        <f>F24-E24</f>
        <v>0</v>
      </c>
      <c r="H24" s="204"/>
      <c r="I24" s="209"/>
      <c r="J24" s="227"/>
      <c r="K24" s="209"/>
      <c r="L24" s="209"/>
    </row>
    <row r="25" spans="1:12" ht="12.75" customHeight="1">
      <c r="A25" s="54"/>
      <c r="B25" s="228"/>
      <c r="C25" s="124">
        <v>4750</v>
      </c>
      <c r="D25" s="20" t="s">
        <v>205</v>
      </c>
      <c r="E25" s="225">
        <v>2000</v>
      </c>
      <c r="F25" s="225">
        <v>2000</v>
      </c>
      <c r="G25" s="225">
        <f>F25-E25</f>
        <v>0</v>
      </c>
      <c r="H25" s="204"/>
      <c r="I25" s="209"/>
      <c r="J25" s="209"/>
      <c r="K25" s="209"/>
      <c r="L25" s="209"/>
    </row>
    <row r="26" spans="1:12" ht="12.75" customHeight="1">
      <c r="A26" s="132"/>
      <c r="B26" s="221">
        <v>80101</v>
      </c>
      <c r="C26" s="222" t="s">
        <v>256</v>
      </c>
      <c r="D26" s="222"/>
      <c r="E26" s="229">
        <f>SUM(E27:E45)</f>
        <v>582775</v>
      </c>
      <c r="F26" s="229">
        <f>SUM(F27:F45)</f>
        <v>653907</v>
      </c>
      <c r="G26" s="229">
        <f>SUM(G27:G45)</f>
        <v>71132</v>
      </c>
      <c r="H26" s="204"/>
      <c r="I26" s="209"/>
      <c r="J26" s="209"/>
      <c r="K26" s="209"/>
      <c r="L26" s="209"/>
    </row>
    <row r="27" spans="1:12" ht="12.75">
      <c r="A27" s="132"/>
      <c r="B27" s="230"/>
      <c r="C27" s="166">
        <v>3020</v>
      </c>
      <c r="D27" s="193" t="s">
        <v>197</v>
      </c>
      <c r="E27" s="225">
        <f>19800+7700+3200</f>
        <v>30700</v>
      </c>
      <c r="F27" s="225">
        <v>44040</v>
      </c>
      <c r="G27" s="225">
        <f>F27-E27</f>
        <v>13340</v>
      </c>
      <c r="H27" s="209"/>
      <c r="I27" s="209"/>
      <c r="J27" s="209"/>
      <c r="K27" s="209"/>
      <c r="L27" s="209"/>
    </row>
    <row r="28" spans="1:12" ht="12.75">
      <c r="A28" s="132"/>
      <c r="B28" s="230"/>
      <c r="C28" s="124">
        <v>3040</v>
      </c>
      <c r="D28" s="67" t="s">
        <v>198</v>
      </c>
      <c r="E28" s="225">
        <v>3036</v>
      </c>
      <c r="F28" s="225">
        <v>4000</v>
      </c>
      <c r="G28" s="225">
        <f>F28-E28</f>
        <v>964</v>
      </c>
      <c r="H28" s="209"/>
      <c r="I28" s="209"/>
      <c r="J28" s="209"/>
      <c r="K28" s="209"/>
      <c r="L28" s="209"/>
    </row>
    <row r="29" spans="1:12" ht="12.75">
      <c r="A29" s="132"/>
      <c r="B29" s="230"/>
      <c r="C29" s="166">
        <v>4010</v>
      </c>
      <c r="D29" s="167" t="s">
        <v>184</v>
      </c>
      <c r="E29" s="225">
        <v>334100</v>
      </c>
      <c r="F29" s="225">
        <v>375445</v>
      </c>
      <c r="G29" s="225">
        <f>F29-E29</f>
        <v>41345</v>
      </c>
      <c r="H29" s="209"/>
      <c r="I29" s="209"/>
      <c r="J29" s="209"/>
      <c r="K29" s="209"/>
      <c r="L29" s="209"/>
    </row>
    <row r="30" spans="1:12" ht="12.75">
      <c r="A30" s="132"/>
      <c r="B30" s="230"/>
      <c r="C30" s="166">
        <v>4040</v>
      </c>
      <c r="D30" s="167" t="s">
        <v>215</v>
      </c>
      <c r="E30" s="226">
        <v>29400</v>
      </c>
      <c r="F30" s="226">
        <v>36000</v>
      </c>
      <c r="G30" s="225">
        <f>F30-E30</f>
        <v>6600</v>
      </c>
      <c r="H30" s="204"/>
      <c r="I30" s="209"/>
      <c r="J30" s="209"/>
      <c r="K30" s="209"/>
      <c r="L30" s="209"/>
    </row>
    <row r="31" spans="1:12" ht="12.75">
      <c r="A31" s="132"/>
      <c r="B31" s="230"/>
      <c r="C31" s="166">
        <v>4110</v>
      </c>
      <c r="D31" s="167" t="s">
        <v>186</v>
      </c>
      <c r="E31" s="225">
        <f>59900+5000</f>
        <v>64900</v>
      </c>
      <c r="F31" s="225">
        <v>68840</v>
      </c>
      <c r="G31" s="225">
        <f>F31-E31</f>
        <v>3940</v>
      </c>
      <c r="H31" s="204"/>
      <c r="I31" s="209"/>
      <c r="J31" s="209"/>
      <c r="K31" s="209"/>
      <c r="L31" s="209"/>
    </row>
    <row r="32" spans="1:12" ht="12.75">
      <c r="A32" s="132"/>
      <c r="B32" s="230"/>
      <c r="C32" s="166">
        <v>4120</v>
      </c>
      <c r="D32" s="167" t="s">
        <v>187</v>
      </c>
      <c r="E32" s="225">
        <v>9200</v>
      </c>
      <c r="F32" s="225">
        <v>11080</v>
      </c>
      <c r="G32" s="225">
        <f>F32-E32</f>
        <v>1880</v>
      </c>
      <c r="H32" s="204"/>
      <c r="I32" s="209"/>
      <c r="J32" s="209"/>
      <c r="K32" s="209"/>
      <c r="L32" s="209"/>
    </row>
    <row r="33" spans="1:12" ht="12.75">
      <c r="A33" s="132"/>
      <c r="B33" s="230"/>
      <c r="C33" s="166">
        <v>4210</v>
      </c>
      <c r="D33" s="167" t="s">
        <v>170</v>
      </c>
      <c r="E33" s="225">
        <v>46000</v>
      </c>
      <c r="F33" s="225">
        <v>45000</v>
      </c>
      <c r="G33" s="225">
        <f>F33-E33</f>
        <v>-1000</v>
      </c>
      <c r="H33" s="204"/>
      <c r="I33" s="209"/>
      <c r="J33" s="209"/>
      <c r="K33" s="209"/>
      <c r="L33" s="209"/>
    </row>
    <row r="34" spans="1:12" ht="12.75">
      <c r="A34" s="132"/>
      <c r="B34" s="230"/>
      <c r="C34" s="166">
        <v>4240</v>
      </c>
      <c r="D34" s="167" t="s">
        <v>216</v>
      </c>
      <c r="E34" s="225">
        <v>500</v>
      </c>
      <c r="F34" s="225">
        <v>1000</v>
      </c>
      <c r="G34" s="225">
        <f>F34-E34</f>
        <v>500</v>
      </c>
      <c r="H34" s="204"/>
      <c r="I34" s="209"/>
      <c r="J34" s="209"/>
      <c r="K34" s="209"/>
      <c r="L34" s="209"/>
    </row>
    <row r="35" spans="1:12" ht="12.75">
      <c r="A35" s="132"/>
      <c r="B35" s="230"/>
      <c r="C35" s="166">
        <v>4260</v>
      </c>
      <c r="D35" s="167" t="s">
        <v>199</v>
      </c>
      <c r="E35" s="225">
        <v>6000</v>
      </c>
      <c r="F35" s="225">
        <v>6000</v>
      </c>
      <c r="G35" s="225">
        <f>F35-E35</f>
        <v>0</v>
      </c>
      <c r="H35" s="204"/>
      <c r="I35" s="209"/>
      <c r="J35" s="209"/>
      <c r="K35" s="209"/>
      <c r="L35" s="209"/>
    </row>
    <row r="36" spans="1:12" ht="12.75">
      <c r="A36" s="132"/>
      <c r="B36" s="230"/>
      <c r="C36" s="124">
        <v>4270</v>
      </c>
      <c r="D36" s="129" t="s">
        <v>217</v>
      </c>
      <c r="E36" s="225">
        <v>20000</v>
      </c>
      <c r="F36" s="225">
        <v>20000</v>
      </c>
      <c r="G36" s="225">
        <f>F36-E36</f>
        <v>0</v>
      </c>
      <c r="H36" s="204"/>
      <c r="I36" s="209"/>
      <c r="J36" s="209"/>
      <c r="K36" s="209"/>
      <c r="L36" s="209"/>
    </row>
    <row r="37" spans="1:12" ht="12.75">
      <c r="A37" s="132"/>
      <c r="B37" s="230"/>
      <c r="C37" s="124">
        <v>4280</v>
      </c>
      <c r="D37" s="129" t="s">
        <v>218</v>
      </c>
      <c r="E37" s="225"/>
      <c r="F37" s="225">
        <v>1000</v>
      </c>
      <c r="G37" s="225">
        <f>F37-E37</f>
        <v>1000</v>
      </c>
      <c r="H37" s="204"/>
      <c r="I37" s="209"/>
      <c r="J37" s="209"/>
      <c r="K37" s="209"/>
      <c r="L37" s="209"/>
    </row>
    <row r="38" spans="1:12" ht="12.75">
      <c r="A38" s="132"/>
      <c r="B38" s="230"/>
      <c r="C38" s="166">
        <v>4300</v>
      </c>
      <c r="D38" s="167" t="s">
        <v>190</v>
      </c>
      <c r="E38" s="225">
        <v>5000</v>
      </c>
      <c r="F38" s="225">
        <v>6000</v>
      </c>
      <c r="G38" s="225">
        <f>F38-E38</f>
        <v>1000</v>
      </c>
      <c r="H38" s="204"/>
      <c r="I38" s="209"/>
      <c r="J38" s="209"/>
      <c r="K38" s="209"/>
      <c r="L38" s="209"/>
    </row>
    <row r="39" spans="1:12" ht="12.75">
      <c r="A39" s="132"/>
      <c r="B39" s="230"/>
      <c r="C39" s="124">
        <v>4350</v>
      </c>
      <c r="D39" s="129" t="s">
        <v>200</v>
      </c>
      <c r="E39" s="225">
        <v>1000</v>
      </c>
      <c r="F39" s="225"/>
      <c r="G39" s="225">
        <f>F39-E39</f>
        <v>-1000</v>
      </c>
      <c r="H39" s="204"/>
      <c r="I39" s="209"/>
      <c r="J39" s="209"/>
      <c r="K39" s="209"/>
      <c r="L39" s="209"/>
    </row>
    <row r="40" spans="1:12" ht="12.75">
      <c r="A40" s="132"/>
      <c r="B40" s="230"/>
      <c r="C40" s="124">
        <v>4370</v>
      </c>
      <c r="D40" s="129" t="s">
        <v>202</v>
      </c>
      <c r="E40" s="225">
        <v>2000</v>
      </c>
      <c r="F40" s="225">
        <v>2500</v>
      </c>
      <c r="G40" s="225">
        <f>F40-E40</f>
        <v>500</v>
      </c>
      <c r="H40" s="204"/>
      <c r="I40" s="209"/>
      <c r="J40" s="209"/>
      <c r="K40" s="209"/>
      <c r="L40" s="209"/>
    </row>
    <row r="41" spans="1:12" ht="12.75">
      <c r="A41" s="132"/>
      <c r="B41" s="230"/>
      <c r="C41" s="166">
        <v>4410</v>
      </c>
      <c r="D41" s="167" t="s">
        <v>195</v>
      </c>
      <c r="E41" s="225">
        <v>1500</v>
      </c>
      <c r="F41" s="225">
        <v>3000</v>
      </c>
      <c r="G41" s="225">
        <f>F41-E41</f>
        <v>1500</v>
      </c>
      <c r="H41" s="204"/>
      <c r="I41" s="209"/>
      <c r="J41" s="209"/>
      <c r="K41" s="209"/>
      <c r="L41" s="209"/>
    </row>
    <row r="42" spans="1:12" ht="12.75">
      <c r="A42" s="132"/>
      <c r="B42" s="230"/>
      <c r="C42" s="166">
        <v>4430</v>
      </c>
      <c r="D42" s="167" t="s">
        <v>171</v>
      </c>
      <c r="E42" s="225">
        <v>500</v>
      </c>
      <c r="F42" s="225">
        <v>500</v>
      </c>
      <c r="G42" s="225">
        <f>F42-E42</f>
        <v>0</v>
      </c>
      <c r="H42" s="204"/>
      <c r="I42" s="209"/>
      <c r="J42" s="209"/>
      <c r="K42" s="209"/>
      <c r="L42" s="209"/>
    </row>
    <row r="43" spans="1:12" ht="12.75">
      <c r="A43" s="132"/>
      <c r="B43" s="230"/>
      <c r="C43" s="166">
        <v>4440</v>
      </c>
      <c r="D43" s="167" t="s">
        <v>189</v>
      </c>
      <c r="E43" s="225">
        <v>25939</v>
      </c>
      <c r="F43" s="225">
        <v>26902</v>
      </c>
      <c r="G43" s="225">
        <f>F43-E43</f>
        <v>963</v>
      </c>
      <c r="H43" s="204"/>
      <c r="I43" s="209"/>
      <c r="J43" s="209"/>
      <c r="K43" s="209"/>
      <c r="L43" s="209"/>
    </row>
    <row r="44" spans="1:12" ht="24.75">
      <c r="A44" s="132"/>
      <c r="B44" s="230"/>
      <c r="C44" s="124">
        <v>4740</v>
      </c>
      <c r="D44" s="20" t="s">
        <v>204</v>
      </c>
      <c r="E44" s="225">
        <v>400</v>
      </c>
      <c r="F44" s="225">
        <v>600</v>
      </c>
      <c r="G44" s="225">
        <f>F44-E44</f>
        <v>200</v>
      </c>
      <c r="H44" s="204"/>
      <c r="I44" s="209"/>
      <c r="J44" s="209"/>
      <c r="K44" s="209"/>
      <c r="L44" s="209"/>
    </row>
    <row r="45" spans="1:12" ht="12.75">
      <c r="A45" s="132"/>
      <c r="B45" s="231"/>
      <c r="C45" s="124">
        <v>4750</v>
      </c>
      <c r="D45" s="20" t="s">
        <v>205</v>
      </c>
      <c r="E45" s="225">
        <v>2600</v>
      </c>
      <c r="F45" s="225">
        <v>2000</v>
      </c>
      <c r="G45" s="225">
        <f>F45-E45</f>
        <v>-600</v>
      </c>
      <c r="H45" s="204"/>
      <c r="I45" s="209"/>
      <c r="J45" s="209"/>
      <c r="K45" s="209"/>
      <c r="L45" s="209"/>
    </row>
    <row r="46" spans="1:12" ht="14.25" customHeight="1">
      <c r="A46" s="132"/>
      <c r="B46" s="221">
        <v>80104</v>
      </c>
      <c r="C46" s="232" t="s">
        <v>257</v>
      </c>
      <c r="D46" s="232"/>
      <c r="E46" s="229">
        <f>SUM(E47:E55)</f>
        <v>36803</v>
      </c>
      <c r="F46" s="229">
        <f>SUM(F47:F55)</f>
        <v>56335</v>
      </c>
      <c r="G46" s="229">
        <f>SUM(G47:G55)</f>
        <v>19532</v>
      </c>
      <c r="H46" s="233"/>
      <c r="I46" s="209"/>
      <c r="J46" s="209"/>
      <c r="K46" s="209"/>
      <c r="L46" s="209"/>
    </row>
    <row r="47" spans="1:12" ht="12.75">
      <c r="A47" s="132"/>
      <c r="B47" s="230"/>
      <c r="C47" s="166">
        <v>3020</v>
      </c>
      <c r="D47" s="167" t="s">
        <v>197</v>
      </c>
      <c r="E47" s="234">
        <f>1800+200</f>
        <v>2000</v>
      </c>
      <c r="F47" s="234">
        <v>4280</v>
      </c>
      <c r="G47" s="225">
        <f>F47-E47</f>
        <v>2280</v>
      </c>
      <c r="H47" s="209"/>
      <c r="I47" s="209"/>
      <c r="J47" s="209"/>
      <c r="K47" s="209"/>
      <c r="L47" s="209"/>
    </row>
    <row r="48" spans="1:12" ht="12.75">
      <c r="A48" s="132"/>
      <c r="B48" s="230"/>
      <c r="C48" s="124">
        <v>3040</v>
      </c>
      <c r="D48" s="67" t="s">
        <v>198</v>
      </c>
      <c r="E48" s="234">
        <v>500</v>
      </c>
      <c r="F48" s="234">
        <v>600</v>
      </c>
      <c r="G48" s="225">
        <f>F48-E48</f>
        <v>100</v>
      </c>
      <c r="H48" s="209"/>
      <c r="I48" s="209"/>
      <c r="J48" s="209"/>
      <c r="K48" s="209"/>
      <c r="L48" s="209"/>
    </row>
    <row r="49" spans="1:12" ht="12.75">
      <c r="A49" s="132"/>
      <c r="B49" s="230"/>
      <c r="C49" s="166">
        <v>4010</v>
      </c>
      <c r="D49" s="167" t="s">
        <v>184</v>
      </c>
      <c r="E49" s="225">
        <v>23200</v>
      </c>
      <c r="F49" s="225">
        <v>37810</v>
      </c>
      <c r="G49" s="225">
        <f>F49-E49</f>
        <v>14610</v>
      </c>
      <c r="H49" s="209"/>
      <c r="I49" s="209"/>
      <c r="J49" s="209"/>
      <c r="K49" s="209"/>
      <c r="L49" s="209"/>
    </row>
    <row r="50" spans="1:12" ht="12.75">
      <c r="A50" s="132"/>
      <c r="B50" s="230"/>
      <c r="C50" s="166">
        <v>4040</v>
      </c>
      <c r="D50" s="167" t="s">
        <v>192</v>
      </c>
      <c r="E50" s="225">
        <v>4100</v>
      </c>
      <c r="F50" s="225">
        <v>3400</v>
      </c>
      <c r="G50" s="225">
        <f>F50-E50</f>
        <v>-700</v>
      </c>
      <c r="H50" s="209"/>
      <c r="I50" s="209"/>
      <c r="J50" s="209"/>
      <c r="K50" s="209"/>
      <c r="L50" s="209"/>
    </row>
    <row r="51" spans="1:12" ht="12.75">
      <c r="A51" s="132"/>
      <c r="B51" s="230"/>
      <c r="C51" s="166">
        <v>4110</v>
      </c>
      <c r="D51" s="167" t="s">
        <v>186</v>
      </c>
      <c r="E51" s="225">
        <v>4300</v>
      </c>
      <c r="F51" s="225">
        <v>6900</v>
      </c>
      <c r="G51" s="225">
        <f>F51-E51</f>
        <v>2600</v>
      </c>
      <c r="H51" s="209"/>
      <c r="I51" s="209"/>
      <c r="J51" s="209"/>
      <c r="K51" s="209"/>
      <c r="L51" s="209"/>
    </row>
    <row r="52" spans="1:12" ht="12.75">
      <c r="A52" s="132"/>
      <c r="B52" s="230"/>
      <c r="C52" s="166">
        <v>4120</v>
      </c>
      <c r="D52" s="167" t="s">
        <v>187</v>
      </c>
      <c r="E52" s="225">
        <v>620</v>
      </c>
      <c r="F52" s="225">
        <v>1120</v>
      </c>
      <c r="G52" s="225">
        <f>F52-E52</f>
        <v>500</v>
      </c>
      <c r="H52" s="209"/>
      <c r="I52" s="209"/>
      <c r="J52" s="209"/>
      <c r="K52" s="209"/>
      <c r="L52" s="209"/>
    </row>
    <row r="53" spans="1:12" ht="12.75">
      <c r="A53" s="132"/>
      <c r="B53" s="230"/>
      <c r="C53" s="124">
        <v>4280</v>
      </c>
      <c r="D53" s="129" t="s">
        <v>218</v>
      </c>
      <c r="E53" s="225"/>
      <c r="F53" s="225">
        <v>50</v>
      </c>
      <c r="G53" s="225">
        <f>F53-E53</f>
        <v>50</v>
      </c>
      <c r="H53" s="209"/>
      <c r="I53" s="209"/>
      <c r="J53" s="209"/>
      <c r="K53" s="209"/>
      <c r="L53" s="209"/>
    </row>
    <row r="54" spans="1:12" ht="12.75">
      <c r="A54" s="132"/>
      <c r="B54" s="230"/>
      <c r="C54" s="166">
        <v>4410</v>
      </c>
      <c r="D54" s="167" t="s">
        <v>195</v>
      </c>
      <c r="E54" s="225">
        <v>100</v>
      </c>
      <c r="F54" s="225">
        <v>100</v>
      </c>
      <c r="G54" s="225">
        <f>F54-E54</f>
        <v>0</v>
      </c>
      <c r="H54" s="209"/>
      <c r="I54" s="209"/>
      <c r="J54" s="209"/>
      <c r="K54" s="209"/>
      <c r="L54" s="209"/>
    </row>
    <row r="55" spans="1:12" ht="12.75">
      <c r="A55" s="161"/>
      <c r="B55" s="190"/>
      <c r="C55" s="166">
        <v>4440</v>
      </c>
      <c r="D55" s="167" t="s">
        <v>189</v>
      </c>
      <c r="E55" s="225">
        <v>1983</v>
      </c>
      <c r="F55" s="225">
        <v>2075</v>
      </c>
      <c r="G55" s="225">
        <f>F55-E55</f>
        <v>92</v>
      </c>
      <c r="H55" s="209"/>
      <c r="I55" s="209"/>
      <c r="J55" s="209"/>
      <c r="K55" s="209"/>
      <c r="L55" s="209"/>
    </row>
    <row r="56" spans="1:12" ht="12.75">
      <c r="A56" s="163"/>
      <c r="B56" s="92">
        <v>80104</v>
      </c>
      <c r="C56" s="232" t="s">
        <v>258</v>
      </c>
      <c r="D56" s="232"/>
      <c r="E56" s="229">
        <f>SUM(E57:E65)</f>
        <v>44947</v>
      </c>
      <c r="F56" s="229">
        <f>SUM(F57:F65)</f>
        <v>44595</v>
      </c>
      <c r="G56" s="229">
        <f>SUM(G57:G65)</f>
        <v>-352</v>
      </c>
      <c r="H56" s="209"/>
      <c r="I56" s="209"/>
      <c r="J56" s="209"/>
      <c r="K56" s="209"/>
      <c r="L56" s="209"/>
    </row>
    <row r="57" spans="1:12" ht="12.75">
      <c r="A57" s="132"/>
      <c r="B57" s="95"/>
      <c r="C57" s="166">
        <v>3020</v>
      </c>
      <c r="D57" s="167" t="s">
        <v>197</v>
      </c>
      <c r="E57" s="225">
        <f>2100+700+300</f>
        <v>3100</v>
      </c>
      <c r="F57" s="225">
        <v>3450</v>
      </c>
      <c r="G57" s="225">
        <f>F57-E57</f>
        <v>350</v>
      </c>
      <c r="H57" s="209"/>
      <c r="I57" s="209"/>
      <c r="J57" s="209"/>
      <c r="K57" s="209"/>
      <c r="L57" s="209"/>
    </row>
    <row r="58" spans="1:12" ht="12.75">
      <c r="A58" s="132"/>
      <c r="B58" s="235"/>
      <c r="C58" s="124">
        <v>3040</v>
      </c>
      <c r="D58" s="67" t="s">
        <v>198</v>
      </c>
      <c r="E58" s="225">
        <v>964</v>
      </c>
      <c r="F58" s="225">
        <v>600</v>
      </c>
      <c r="G58" s="225">
        <f>F58-E58</f>
        <v>-364</v>
      </c>
      <c r="H58" s="209"/>
      <c r="I58" s="209"/>
      <c r="J58" s="209"/>
      <c r="K58" s="209"/>
      <c r="L58" s="209"/>
    </row>
    <row r="59" spans="1:12" ht="12.75">
      <c r="A59" s="132"/>
      <c r="B59" s="235"/>
      <c r="C59" s="166">
        <v>4010</v>
      </c>
      <c r="D59" s="167" t="s">
        <v>184</v>
      </c>
      <c r="E59" s="225">
        <v>30000</v>
      </c>
      <c r="F59" s="225">
        <v>29500</v>
      </c>
      <c r="G59" s="225">
        <f>F59-E59</f>
        <v>-500</v>
      </c>
      <c r="H59" s="209"/>
      <c r="I59" s="209"/>
      <c r="J59" s="209"/>
      <c r="K59" s="209"/>
      <c r="L59" s="209"/>
    </row>
    <row r="60" spans="1:12" ht="12.75">
      <c r="A60" s="132"/>
      <c r="B60" s="235"/>
      <c r="C60" s="166">
        <v>4040</v>
      </c>
      <c r="D60" s="167" t="s">
        <v>192</v>
      </c>
      <c r="E60" s="225">
        <v>1950</v>
      </c>
      <c r="F60" s="225">
        <v>2500</v>
      </c>
      <c r="G60" s="225">
        <f>F60-E60</f>
        <v>550</v>
      </c>
      <c r="H60" s="209"/>
      <c r="I60" s="209"/>
      <c r="J60" s="209"/>
      <c r="K60" s="209"/>
      <c r="L60" s="209"/>
    </row>
    <row r="61" spans="1:12" ht="12.75">
      <c r="A61" s="132"/>
      <c r="B61" s="235"/>
      <c r="C61" s="166">
        <v>4110</v>
      </c>
      <c r="D61" s="167" t="s">
        <v>186</v>
      </c>
      <c r="E61" s="225">
        <v>6000</v>
      </c>
      <c r="F61" s="225">
        <v>5500</v>
      </c>
      <c r="G61" s="225">
        <f>F61-E61</f>
        <v>-500</v>
      </c>
      <c r="H61" s="209"/>
      <c r="I61" s="209"/>
      <c r="J61" s="209"/>
      <c r="K61" s="209"/>
      <c r="L61" s="209"/>
    </row>
    <row r="62" spans="1:12" ht="12.75">
      <c r="A62" s="132"/>
      <c r="B62" s="235"/>
      <c r="C62" s="166">
        <v>4120</v>
      </c>
      <c r="D62" s="167" t="s">
        <v>187</v>
      </c>
      <c r="E62" s="225">
        <f>800+50</f>
        <v>850</v>
      </c>
      <c r="F62" s="225">
        <v>870</v>
      </c>
      <c r="G62" s="225">
        <f>F62-E62</f>
        <v>20</v>
      </c>
      <c r="H62" s="209"/>
      <c r="I62" s="209"/>
      <c r="J62" s="209"/>
      <c r="K62" s="209"/>
      <c r="L62" s="209"/>
    </row>
    <row r="63" spans="1:12" ht="12.75">
      <c r="A63" s="132"/>
      <c r="B63" s="235"/>
      <c r="C63" s="124">
        <v>4280</v>
      </c>
      <c r="D63" s="129" t="s">
        <v>218</v>
      </c>
      <c r="E63" s="225"/>
      <c r="F63" s="225"/>
      <c r="G63" s="225">
        <f>F63-E63</f>
        <v>0</v>
      </c>
      <c r="H63" s="209"/>
      <c r="I63" s="209"/>
      <c r="J63" s="209"/>
      <c r="K63" s="209"/>
      <c r="L63" s="209"/>
    </row>
    <row r="64" spans="1:12" ht="12.75">
      <c r="A64" s="132"/>
      <c r="B64" s="235"/>
      <c r="C64" s="166">
        <v>4410</v>
      </c>
      <c r="D64" s="167" t="s">
        <v>195</v>
      </c>
      <c r="E64" s="225">
        <v>100</v>
      </c>
      <c r="F64" s="225">
        <v>100</v>
      </c>
      <c r="G64" s="225">
        <f>F64-E64</f>
        <v>0</v>
      </c>
      <c r="H64" s="209"/>
      <c r="I64" s="209"/>
      <c r="J64" s="209"/>
      <c r="K64" s="209"/>
      <c r="L64" s="209"/>
    </row>
    <row r="65" spans="1:12" ht="12.75">
      <c r="A65" s="132"/>
      <c r="B65" s="190"/>
      <c r="C65" s="166">
        <v>4440</v>
      </c>
      <c r="D65" s="167" t="s">
        <v>189</v>
      </c>
      <c r="E65" s="225">
        <v>1983</v>
      </c>
      <c r="F65" s="225">
        <v>2075</v>
      </c>
      <c r="G65" s="225">
        <f>F65-E65</f>
        <v>92</v>
      </c>
      <c r="H65" s="209"/>
      <c r="I65" s="209"/>
      <c r="J65" s="209"/>
      <c r="K65" s="209"/>
      <c r="L65" s="209"/>
    </row>
    <row r="66" spans="1:12" ht="12.75">
      <c r="A66" s="132"/>
      <c r="B66" s="221">
        <v>80110</v>
      </c>
      <c r="C66" s="222" t="s">
        <v>220</v>
      </c>
      <c r="D66" s="222"/>
      <c r="E66" s="229">
        <f>SUM(E67:E86)</f>
        <v>697050</v>
      </c>
      <c r="F66" s="229">
        <f>SUM(F67:F86)</f>
        <v>760512</v>
      </c>
      <c r="G66" s="229">
        <f>SUM(G67:G86)</f>
        <v>63462</v>
      </c>
      <c r="H66" s="209"/>
      <c r="I66" s="209"/>
      <c r="J66" s="209"/>
      <c r="K66" s="204"/>
      <c r="L66" s="209"/>
    </row>
    <row r="67" spans="1:12" ht="12.75">
      <c r="A67" s="132"/>
      <c r="B67" s="224"/>
      <c r="C67" s="166">
        <v>3020</v>
      </c>
      <c r="D67" s="167" t="s">
        <v>197</v>
      </c>
      <c r="E67" s="225">
        <f>26500+8800+3700</f>
        <v>39000</v>
      </c>
      <c r="F67" s="225">
        <v>44632</v>
      </c>
      <c r="G67" s="225">
        <f>F67-E67</f>
        <v>5632</v>
      </c>
      <c r="H67" s="209"/>
      <c r="I67" s="209"/>
      <c r="J67" s="209"/>
      <c r="K67" s="204"/>
      <c r="L67" s="209"/>
    </row>
    <row r="68" spans="1:12" ht="12.75">
      <c r="A68" s="132"/>
      <c r="B68" s="224"/>
      <c r="C68" s="124">
        <v>3040</v>
      </c>
      <c r="D68" s="67" t="s">
        <v>198</v>
      </c>
      <c r="E68" s="225">
        <v>4000</v>
      </c>
      <c r="F68" s="225">
        <v>4500</v>
      </c>
      <c r="G68" s="225">
        <f>F68-E68</f>
        <v>500</v>
      </c>
      <c r="H68" s="209"/>
      <c r="I68" s="209"/>
      <c r="J68" s="209"/>
      <c r="K68" s="204"/>
      <c r="L68" s="209"/>
    </row>
    <row r="69" spans="1:12" ht="12.75">
      <c r="A69" s="132"/>
      <c r="B69" s="224"/>
      <c r="C69" s="166">
        <v>4010</v>
      </c>
      <c r="D69" s="167" t="s">
        <v>184</v>
      </c>
      <c r="E69" s="225">
        <v>420700</v>
      </c>
      <c r="F69" s="225">
        <f>55100+370700+13650</f>
        <v>439450</v>
      </c>
      <c r="G69" s="225">
        <f>F69-E69</f>
        <v>18750</v>
      </c>
      <c r="H69" s="209"/>
      <c r="I69" s="209"/>
      <c r="J69" s="209"/>
      <c r="K69" s="204"/>
      <c r="L69" s="209"/>
    </row>
    <row r="70" spans="1:12" ht="12.75">
      <c r="A70" s="132"/>
      <c r="B70" s="224"/>
      <c r="C70" s="166">
        <v>4040</v>
      </c>
      <c r="D70" s="167" t="s">
        <v>192</v>
      </c>
      <c r="E70" s="226">
        <v>32600</v>
      </c>
      <c r="F70" s="226">
        <v>35000</v>
      </c>
      <c r="G70" s="225">
        <f>F70-E70</f>
        <v>2400</v>
      </c>
      <c r="H70" s="209"/>
      <c r="I70" s="209"/>
      <c r="J70" s="209"/>
      <c r="K70" s="204"/>
      <c r="L70" s="209"/>
    </row>
    <row r="71" spans="1:12" ht="12.75">
      <c r="A71" s="132"/>
      <c r="B71" s="224"/>
      <c r="C71" s="166">
        <v>4110</v>
      </c>
      <c r="D71" s="167" t="s">
        <v>186</v>
      </c>
      <c r="E71" s="225">
        <f>75000+5600</f>
        <v>80600</v>
      </c>
      <c r="F71" s="225">
        <v>78000</v>
      </c>
      <c r="G71" s="225">
        <f>F71-E71</f>
        <v>-2600</v>
      </c>
      <c r="H71" s="209"/>
      <c r="I71" s="209"/>
      <c r="J71" s="209"/>
      <c r="K71" s="204"/>
      <c r="L71" s="209"/>
    </row>
    <row r="72" spans="1:12" ht="12.75">
      <c r="A72" s="132"/>
      <c r="B72" s="224"/>
      <c r="C72" s="166">
        <v>4120</v>
      </c>
      <c r="D72" s="167" t="s">
        <v>187</v>
      </c>
      <c r="E72" s="225">
        <f>10700+800</f>
        <v>11500</v>
      </c>
      <c r="F72" s="225">
        <v>12600</v>
      </c>
      <c r="G72" s="225">
        <f>F72-E72</f>
        <v>1100</v>
      </c>
      <c r="H72" s="209"/>
      <c r="I72" s="209"/>
      <c r="J72" s="209"/>
      <c r="K72" s="204"/>
      <c r="L72" s="209"/>
    </row>
    <row r="73" spans="1:12" ht="12.75">
      <c r="A73" s="132"/>
      <c r="B73" s="224"/>
      <c r="C73" s="166">
        <v>4210</v>
      </c>
      <c r="D73" s="167" t="s">
        <v>170</v>
      </c>
      <c r="E73" s="225">
        <v>30000</v>
      </c>
      <c r="F73" s="225">
        <v>34500</v>
      </c>
      <c r="G73" s="225">
        <f>F73-E73</f>
        <v>4500</v>
      </c>
      <c r="H73" s="209"/>
      <c r="I73" s="209"/>
      <c r="J73" s="209"/>
      <c r="K73" s="204"/>
      <c r="L73" s="209"/>
    </row>
    <row r="74" spans="1:12" ht="12.75">
      <c r="A74" s="132"/>
      <c r="B74" s="224"/>
      <c r="C74" s="166">
        <v>4240</v>
      </c>
      <c r="D74" s="167" t="s">
        <v>216</v>
      </c>
      <c r="E74" s="225">
        <v>1000</v>
      </c>
      <c r="F74" s="225">
        <v>9000</v>
      </c>
      <c r="G74" s="225">
        <f>F74-E74</f>
        <v>8000</v>
      </c>
      <c r="H74" s="209"/>
      <c r="I74" s="209"/>
      <c r="J74" s="209"/>
      <c r="K74" s="209"/>
      <c r="L74" s="209"/>
    </row>
    <row r="75" spans="1:12" ht="12.75">
      <c r="A75" s="132"/>
      <c r="B75" s="224"/>
      <c r="C75" s="166">
        <v>4260</v>
      </c>
      <c r="D75" s="167" t="s">
        <v>199</v>
      </c>
      <c r="E75" s="225">
        <v>6000</v>
      </c>
      <c r="F75" s="225">
        <v>6500</v>
      </c>
      <c r="G75" s="225">
        <f>F75-E75</f>
        <v>500</v>
      </c>
      <c r="H75" s="209"/>
      <c r="I75" s="209"/>
      <c r="J75" s="209"/>
      <c r="K75" s="209"/>
      <c r="L75" s="209"/>
    </row>
    <row r="76" spans="1:12" ht="12.75">
      <c r="A76" s="132"/>
      <c r="B76" s="224"/>
      <c r="C76" s="124">
        <v>4270</v>
      </c>
      <c r="D76" s="129" t="s">
        <v>217</v>
      </c>
      <c r="E76" s="225">
        <v>20000</v>
      </c>
      <c r="F76" s="225">
        <v>30000</v>
      </c>
      <c r="G76" s="225">
        <f>F76-E76</f>
        <v>10000</v>
      </c>
      <c r="H76" s="209"/>
      <c r="I76" s="209"/>
      <c r="J76" s="209"/>
      <c r="K76" s="209"/>
      <c r="L76" s="209"/>
    </row>
    <row r="77" spans="1:12" ht="12.75">
      <c r="A77" s="132"/>
      <c r="B77" s="224"/>
      <c r="C77" s="124">
        <v>4280</v>
      </c>
      <c r="D77" s="129" t="s">
        <v>218</v>
      </c>
      <c r="E77" s="225"/>
      <c r="F77" s="225">
        <v>1000</v>
      </c>
      <c r="G77" s="225">
        <f>F77-E77</f>
        <v>1000</v>
      </c>
      <c r="H77" s="209"/>
      <c r="I77" s="209"/>
      <c r="J77" s="209"/>
      <c r="K77" s="209"/>
      <c r="L77" s="209"/>
    </row>
    <row r="78" spans="1:12" ht="12.75">
      <c r="A78" s="132"/>
      <c r="B78" s="224"/>
      <c r="C78" s="166">
        <v>4300</v>
      </c>
      <c r="D78" s="167" t="s">
        <v>190</v>
      </c>
      <c r="E78" s="225">
        <v>15000</v>
      </c>
      <c r="F78" s="225">
        <v>11000</v>
      </c>
      <c r="G78" s="225">
        <f>F78-E78</f>
        <v>-4000</v>
      </c>
      <c r="H78" s="209"/>
      <c r="I78" s="209"/>
      <c r="J78" s="209"/>
      <c r="K78" s="209"/>
      <c r="L78" s="209"/>
    </row>
    <row r="79" spans="1:12" ht="12.75">
      <c r="A79" s="132"/>
      <c r="B79" s="224"/>
      <c r="C79" s="124">
        <v>4350</v>
      </c>
      <c r="D79" s="129" t="s">
        <v>200</v>
      </c>
      <c r="E79" s="225">
        <v>1000</v>
      </c>
      <c r="F79" s="225">
        <v>1000</v>
      </c>
      <c r="G79" s="225">
        <f>F79-E79</f>
        <v>0</v>
      </c>
      <c r="H79" s="209"/>
      <c r="I79" s="209"/>
      <c r="J79" s="209"/>
      <c r="K79" s="209"/>
      <c r="L79" s="209"/>
    </row>
    <row r="80" spans="1:12" ht="12.75">
      <c r="A80" s="132"/>
      <c r="B80" s="224"/>
      <c r="C80" s="124">
        <v>4370</v>
      </c>
      <c r="D80" s="129" t="s">
        <v>202</v>
      </c>
      <c r="E80" s="225">
        <v>2000</v>
      </c>
      <c r="F80" s="225">
        <v>2000</v>
      </c>
      <c r="G80" s="225">
        <f>F80-E80</f>
        <v>0</v>
      </c>
      <c r="H80" s="209"/>
      <c r="I80" s="209"/>
      <c r="J80" s="209"/>
      <c r="K80" s="209"/>
      <c r="L80" s="209"/>
    </row>
    <row r="81" spans="1:12" ht="12.75">
      <c r="A81" s="132"/>
      <c r="B81" s="224"/>
      <c r="C81" s="166">
        <v>4410</v>
      </c>
      <c r="D81" s="167" t="s">
        <v>195</v>
      </c>
      <c r="E81" s="225">
        <v>2500</v>
      </c>
      <c r="F81" s="225">
        <v>3000</v>
      </c>
      <c r="G81" s="225">
        <f>F81-E81</f>
        <v>500</v>
      </c>
      <c r="H81" s="209"/>
      <c r="I81" s="209"/>
      <c r="J81" s="209"/>
      <c r="K81" s="209"/>
      <c r="L81" s="209"/>
    </row>
    <row r="82" spans="1:12" ht="12.75">
      <c r="A82" s="132"/>
      <c r="B82" s="224"/>
      <c r="C82" s="166">
        <v>4430</v>
      </c>
      <c r="D82" s="167" t="s">
        <v>171</v>
      </c>
      <c r="E82" s="225">
        <v>500</v>
      </c>
      <c r="F82" s="225">
        <v>500</v>
      </c>
      <c r="G82" s="225">
        <f>F82-E82</f>
        <v>0</v>
      </c>
      <c r="H82" s="209"/>
      <c r="I82" s="209"/>
      <c r="J82" s="209"/>
      <c r="K82" s="209"/>
      <c r="L82" s="209"/>
    </row>
    <row r="83" spans="1:12" ht="12.75">
      <c r="A83" s="132"/>
      <c r="B83" s="224"/>
      <c r="C83" s="166">
        <v>4440</v>
      </c>
      <c r="D83" s="167" t="s">
        <v>189</v>
      </c>
      <c r="E83" s="225">
        <f>1820+24830</f>
        <v>26650</v>
      </c>
      <c r="F83" s="225">
        <v>28830</v>
      </c>
      <c r="G83" s="225">
        <f>F83-E83</f>
        <v>2180</v>
      </c>
      <c r="H83" s="209"/>
      <c r="I83" s="209"/>
      <c r="J83" s="209"/>
      <c r="K83" s="209"/>
      <c r="L83" s="209"/>
    </row>
    <row r="84" spans="1:12" ht="24.75">
      <c r="A84" s="132"/>
      <c r="B84" s="224"/>
      <c r="C84" s="124">
        <v>4740</v>
      </c>
      <c r="D84" s="20" t="s">
        <v>204</v>
      </c>
      <c r="E84" s="225">
        <v>2000</v>
      </c>
      <c r="F84" s="225">
        <v>2000</v>
      </c>
      <c r="G84" s="225">
        <f>F84-E84</f>
        <v>0</v>
      </c>
      <c r="H84" s="209"/>
      <c r="I84" s="209"/>
      <c r="J84" s="209"/>
      <c r="K84" s="209"/>
      <c r="L84" s="209"/>
    </row>
    <row r="85" spans="1:12" ht="12.75">
      <c r="A85" s="132"/>
      <c r="B85" s="224"/>
      <c r="C85" s="124">
        <v>4750</v>
      </c>
      <c r="D85" s="20" t="s">
        <v>205</v>
      </c>
      <c r="E85" s="225">
        <v>2000</v>
      </c>
      <c r="F85" s="225">
        <v>2000</v>
      </c>
      <c r="G85" s="225">
        <f>F85-E85</f>
        <v>0</v>
      </c>
      <c r="H85" s="209"/>
      <c r="I85" s="209"/>
      <c r="J85" s="209"/>
      <c r="K85" s="209"/>
      <c r="L85" s="209"/>
    </row>
    <row r="86" spans="1:12" ht="12.75">
      <c r="A86" s="132"/>
      <c r="B86" s="224"/>
      <c r="C86" s="126">
        <v>6050</v>
      </c>
      <c r="D86" s="119" t="s">
        <v>165</v>
      </c>
      <c r="E86" s="144">
        <v>0</v>
      </c>
      <c r="F86" s="144">
        <f>3!H14</f>
        <v>15000</v>
      </c>
      <c r="G86" s="236">
        <f>F86-E86</f>
        <v>15000</v>
      </c>
      <c r="H86" s="209"/>
      <c r="I86" s="209"/>
      <c r="J86" s="209"/>
      <c r="K86" s="209"/>
      <c r="L86" s="209"/>
    </row>
    <row r="87" spans="1:12" ht="12.75">
      <c r="A87" s="132"/>
      <c r="B87" s="221">
        <v>80113</v>
      </c>
      <c r="C87" s="222" t="s">
        <v>221</v>
      </c>
      <c r="D87" s="222"/>
      <c r="E87" s="237">
        <f>SUM(E88:E95)</f>
        <v>215570</v>
      </c>
      <c r="F87" s="237">
        <f>SUM(F88:F95)</f>
        <v>215661</v>
      </c>
      <c r="G87" s="237">
        <f>SUM(G88:G95)</f>
        <v>91</v>
      </c>
      <c r="H87" s="209"/>
      <c r="I87" s="209"/>
      <c r="J87" s="209"/>
      <c r="K87" s="209"/>
      <c r="L87" s="209"/>
    </row>
    <row r="88" spans="1:12" ht="12.75">
      <c r="A88" s="132"/>
      <c r="B88" s="230"/>
      <c r="C88" s="166">
        <v>4010</v>
      </c>
      <c r="D88" s="167" t="s">
        <v>184</v>
      </c>
      <c r="E88" s="225">
        <v>11500</v>
      </c>
      <c r="F88" s="225">
        <v>13500</v>
      </c>
      <c r="G88" s="225">
        <f>F88-E88</f>
        <v>2000</v>
      </c>
      <c r="H88" s="238"/>
      <c r="I88" s="209"/>
      <c r="J88" s="238"/>
      <c r="K88" s="238"/>
      <c r="L88" s="209"/>
    </row>
    <row r="89" spans="1:12" ht="12.75">
      <c r="A89" s="132"/>
      <c r="B89" s="230"/>
      <c r="C89" s="166">
        <v>4040</v>
      </c>
      <c r="D89" s="167" t="s">
        <v>192</v>
      </c>
      <c r="E89" s="225">
        <v>2540</v>
      </c>
      <c r="F89" s="225">
        <v>800</v>
      </c>
      <c r="G89" s="225">
        <f>F89-E89</f>
        <v>-1740</v>
      </c>
      <c r="H89" s="238"/>
      <c r="I89" s="209"/>
      <c r="J89" s="238"/>
      <c r="K89" s="238"/>
      <c r="L89" s="209"/>
    </row>
    <row r="90" spans="1:12" ht="12.75">
      <c r="A90" s="132"/>
      <c r="B90" s="230"/>
      <c r="C90" s="166">
        <v>4110</v>
      </c>
      <c r="D90" s="167" t="s">
        <v>186</v>
      </c>
      <c r="E90" s="225">
        <f>3850+270</f>
        <v>4120</v>
      </c>
      <c r="F90" s="225">
        <v>2040</v>
      </c>
      <c r="G90" s="225">
        <f>F90-E90</f>
        <v>-2080</v>
      </c>
      <c r="H90" s="209"/>
      <c r="I90" s="209"/>
      <c r="J90" s="238"/>
      <c r="K90" s="238"/>
      <c r="L90" s="209"/>
    </row>
    <row r="91" spans="1:12" ht="12.75">
      <c r="A91" s="132"/>
      <c r="B91" s="230"/>
      <c r="C91" s="166">
        <v>4120</v>
      </c>
      <c r="D91" s="167" t="s">
        <v>187</v>
      </c>
      <c r="E91" s="225">
        <f>550+40</f>
        <v>590</v>
      </c>
      <c r="F91" s="225">
        <v>330</v>
      </c>
      <c r="G91" s="225">
        <f>F91-E91</f>
        <v>-260</v>
      </c>
      <c r="H91" s="209"/>
      <c r="I91" s="209"/>
      <c r="J91" s="238"/>
      <c r="K91" s="238"/>
      <c r="L91" s="209"/>
    </row>
    <row r="92" spans="1:12" ht="12.75">
      <c r="A92" s="132"/>
      <c r="B92" s="230"/>
      <c r="C92" s="166">
        <v>4210</v>
      </c>
      <c r="D92" s="167" t="s">
        <v>170</v>
      </c>
      <c r="E92" s="225">
        <v>15000</v>
      </c>
      <c r="F92" s="225">
        <v>15000</v>
      </c>
      <c r="G92" s="225">
        <f>F92-E92</f>
        <v>0</v>
      </c>
      <c r="H92" s="204"/>
      <c r="I92" s="209"/>
      <c r="J92" s="238"/>
      <c r="K92" s="238"/>
      <c r="L92" s="209"/>
    </row>
    <row r="93" spans="1:12" ht="12.75">
      <c r="A93" s="132"/>
      <c r="B93" s="230"/>
      <c r="C93" s="166">
        <v>4300</v>
      </c>
      <c r="D93" s="167" t="s">
        <v>190</v>
      </c>
      <c r="E93" s="225">
        <v>177000</v>
      </c>
      <c r="F93" s="225">
        <v>180000</v>
      </c>
      <c r="G93" s="225">
        <f>F93-E93</f>
        <v>3000</v>
      </c>
      <c r="H93" s="209"/>
      <c r="I93" s="209"/>
      <c r="J93" s="209"/>
      <c r="K93" s="209"/>
      <c r="L93" s="209"/>
    </row>
    <row r="94" spans="1:12" ht="12.75">
      <c r="A94" s="132"/>
      <c r="B94" s="230"/>
      <c r="C94" s="166">
        <v>4430</v>
      </c>
      <c r="D94" s="167" t="s">
        <v>171</v>
      </c>
      <c r="E94" s="225">
        <v>3000</v>
      </c>
      <c r="F94" s="225">
        <v>3000</v>
      </c>
      <c r="G94" s="225">
        <f>F94-E94</f>
        <v>0</v>
      </c>
      <c r="H94" s="209"/>
      <c r="I94" s="209"/>
      <c r="J94" s="209"/>
      <c r="K94" s="209"/>
      <c r="L94" s="209"/>
    </row>
    <row r="95" spans="1:12" ht="12.75">
      <c r="A95" s="132"/>
      <c r="B95" s="230"/>
      <c r="C95" s="166">
        <v>4440</v>
      </c>
      <c r="D95" s="167" t="s">
        <v>189</v>
      </c>
      <c r="E95" s="225">
        <v>1820</v>
      </c>
      <c r="F95" s="225">
        <v>991</v>
      </c>
      <c r="G95" s="225">
        <f>F95-E95</f>
        <v>-829</v>
      </c>
      <c r="H95" s="209"/>
      <c r="I95" s="209"/>
      <c r="J95" s="209"/>
      <c r="K95" s="209"/>
      <c r="L95" s="209"/>
    </row>
    <row r="96" spans="1:12" ht="12.75">
      <c r="A96" s="132"/>
      <c r="B96" s="92">
        <v>80146</v>
      </c>
      <c r="C96" s="88" t="s">
        <v>222</v>
      </c>
      <c r="D96" s="88"/>
      <c r="E96" s="229">
        <f>SUM(E97:E99)</f>
        <v>10000</v>
      </c>
      <c r="F96" s="229">
        <f>SUM(F97:F99)</f>
        <v>10000</v>
      </c>
      <c r="G96" s="229">
        <f>SUM(G97:G99)</f>
        <v>0</v>
      </c>
      <c r="H96" s="209"/>
      <c r="I96" s="209"/>
      <c r="J96" s="209"/>
      <c r="K96" s="209"/>
      <c r="L96" s="209"/>
    </row>
    <row r="97" spans="1:12" ht="12.75">
      <c r="A97" s="132"/>
      <c r="B97" s="95"/>
      <c r="C97" s="166">
        <v>4210</v>
      </c>
      <c r="D97" s="167" t="s">
        <v>170</v>
      </c>
      <c r="E97" s="225">
        <v>1250</v>
      </c>
      <c r="F97" s="225">
        <f>700+600+700</f>
        <v>2000</v>
      </c>
      <c r="G97" s="225">
        <f>F97-E97</f>
        <v>750</v>
      </c>
      <c r="H97" s="209"/>
      <c r="I97" s="209"/>
      <c r="J97" s="209"/>
      <c r="K97" s="209"/>
      <c r="L97" s="209"/>
    </row>
    <row r="98" spans="1:12" ht="12.75">
      <c r="A98" s="132"/>
      <c r="B98" s="95"/>
      <c r="C98" s="166">
        <v>4410</v>
      </c>
      <c r="D98" s="167" t="s">
        <v>195</v>
      </c>
      <c r="E98" s="225">
        <v>1000</v>
      </c>
      <c r="F98" s="225">
        <f>1000+1000+1000</f>
        <v>3000</v>
      </c>
      <c r="G98" s="225">
        <f>F98-E98</f>
        <v>2000</v>
      </c>
      <c r="H98" s="209"/>
      <c r="I98" s="209"/>
      <c r="J98" s="209"/>
      <c r="K98" s="209"/>
      <c r="L98" s="209"/>
    </row>
    <row r="99" spans="1:12" ht="12.75">
      <c r="A99" s="132"/>
      <c r="B99" s="95"/>
      <c r="C99" s="124">
        <v>4700</v>
      </c>
      <c r="D99" s="129" t="s">
        <v>203</v>
      </c>
      <c r="E99" s="225">
        <v>7750</v>
      </c>
      <c r="F99" s="225">
        <f>2500+2500</f>
        <v>5000</v>
      </c>
      <c r="G99" s="225">
        <f>F99-E99</f>
        <v>-2750</v>
      </c>
      <c r="H99" s="209"/>
      <c r="I99" s="209"/>
      <c r="J99" s="209"/>
      <c r="K99" s="209"/>
      <c r="L99" s="209"/>
    </row>
    <row r="100" spans="1:12" ht="12.75">
      <c r="A100" s="132"/>
      <c r="B100" s="87">
        <v>80195</v>
      </c>
      <c r="C100" s="88" t="s">
        <v>23</v>
      </c>
      <c r="D100" s="88"/>
      <c r="E100" s="237">
        <f>SUM(E101:E103)</f>
        <v>18953</v>
      </c>
      <c r="F100" s="237">
        <f>SUM(F101:F103)</f>
        <v>2000</v>
      </c>
      <c r="G100" s="237">
        <f>SUM(G101:G103)</f>
        <v>-16953</v>
      </c>
      <c r="H100" s="209"/>
      <c r="I100" s="209"/>
      <c r="J100" s="209"/>
      <c r="K100" s="209"/>
      <c r="L100" s="209"/>
    </row>
    <row r="101" spans="1:12" ht="12.75">
      <c r="A101" s="132"/>
      <c r="B101" s="169"/>
      <c r="C101" s="7">
        <v>3030</v>
      </c>
      <c r="D101" s="129" t="s">
        <v>194</v>
      </c>
      <c r="E101" s="239"/>
      <c r="F101" s="239"/>
      <c r="G101" s="225">
        <f>F101-E101</f>
        <v>0</v>
      </c>
      <c r="H101" s="209"/>
      <c r="I101" s="209"/>
      <c r="J101" s="209"/>
      <c r="K101" s="209"/>
      <c r="L101" s="209"/>
    </row>
    <row r="102" spans="1:12" ht="12.75">
      <c r="A102" s="132"/>
      <c r="B102" s="95"/>
      <c r="C102" s="166">
        <v>4300</v>
      </c>
      <c r="D102" s="167" t="s">
        <v>190</v>
      </c>
      <c r="E102" s="226">
        <v>16953</v>
      </c>
      <c r="F102" s="226"/>
      <c r="G102" s="225">
        <f>F102-E102</f>
        <v>-16953</v>
      </c>
      <c r="H102" s="209"/>
      <c r="I102" s="209"/>
      <c r="J102" s="209"/>
      <c r="K102" s="209"/>
      <c r="L102" s="209"/>
    </row>
    <row r="103" spans="1:12" ht="12.75">
      <c r="A103" s="161"/>
      <c r="B103" s="170"/>
      <c r="C103" s="166">
        <v>4440</v>
      </c>
      <c r="D103" s="167" t="s">
        <v>189</v>
      </c>
      <c r="E103" s="226">
        <v>2000</v>
      </c>
      <c r="F103" s="226">
        <v>2000</v>
      </c>
      <c r="G103" s="225">
        <f>F103-E103</f>
        <v>0</v>
      </c>
      <c r="H103" s="209"/>
      <c r="I103" s="209"/>
      <c r="J103" s="209"/>
      <c r="K103" s="209"/>
      <c r="L103" s="209"/>
    </row>
    <row r="104" spans="1:12" ht="13.5">
      <c r="A104" s="79">
        <v>854</v>
      </c>
      <c r="B104" s="80" t="s">
        <v>140</v>
      </c>
      <c r="C104" s="80"/>
      <c r="D104" s="80"/>
      <c r="E104" s="240">
        <f>SUM(E105)</f>
        <v>51115</v>
      </c>
      <c r="F104" s="240">
        <f>SUM(F105)</f>
        <v>19520</v>
      </c>
      <c r="G104" s="240"/>
      <c r="H104" s="101"/>
      <c r="I104" s="101"/>
      <c r="J104" s="101"/>
      <c r="K104" s="101"/>
      <c r="L104" s="101"/>
    </row>
    <row r="105" spans="1:12" ht="12.75">
      <c r="A105" s="132"/>
      <c r="B105" s="55">
        <v>85415</v>
      </c>
      <c r="C105" s="56" t="s">
        <v>141</v>
      </c>
      <c r="D105" s="56"/>
      <c r="E105" s="241">
        <f>SUM(E106:E109)</f>
        <v>51115</v>
      </c>
      <c r="F105" s="241">
        <f>SUM(F106:F109)</f>
        <v>19520</v>
      </c>
      <c r="G105" s="241"/>
      <c r="H105" s="101"/>
      <c r="I105" s="101"/>
      <c r="J105" s="101"/>
      <c r="K105" s="101"/>
      <c r="L105" s="101"/>
    </row>
    <row r="106" spans="1:12" ht="12.75">
      <c r="A106" s="132"/>
      <c r="B106" s="125"/>
      <c r="C106" s="7">
        <v>3260</v>
      </c>
      <c r="D106" s="129" t="s">
        <v>259</v>
      </c>
      <c r="E106" s="242">
        <v>51115</v>
      </c>
      <c r="F106" s="243"/>
      <c r="G106" s="243"/>
      <c r="H106" s="101"/>
      <c r="I106" s="101"/>
      <c r="J106" s="101"/>
      <c r="K106" s="101"/>
      <c r="L106" s="101"/>
    </row>
    <row r="107" spans="1:12" ht="12.75">
      <c r="A107" s="132"/>
      <c r="B107" s="125"/>
      <c r="C107" s="7">
        <v>3260</v>
      </c>
      <c r="D107" s="129" t="s">
        <v>260</v>
      </c>
      <c r="E107" s="242"/>
      <c r="F107" s="243">
        <f>6680+2800</f>
        <v>9480</v>
      </c>
      <c r="G107" s="243"/>
      <c r="H107" s="101"/>
      <c r="I107" s="101"/>
      <c r="J107" s="101"/>
      <c r="K107" s="101"/>
      <c r="L107" s="101"/>
    </row>
    <row r="108" spans="1:12" ht="12.75">
      <c r="A108" s="132"/>
      <c r="B108" s="125"/>
      <c r="C108" s="7">
        <v>3260</v>
      </c>
      <c r="D108" s="129" t="s">
        <v>261</v>
      </c>
      <c r="E108" s="242"/>
      <c r="F108" s="243">
        <f>4790+1700</f>
        <v>6490</v>
      </c>
      <c r="G108" s="243"/>
      <c r="H108" s="101"/>
      <c r="I108" s="101"/>
      <c r="J108" s="101"/>
      <c r="K108" s="101"/>
      <c r="L108" s="101"/>
    </row>
    <row r="109" spans="1:12" ht="12.75">
      <c r="A109" s="161"/>
      <c r="B109" s="60"/>
      <c r="C109" s="7">
        <v>3260</v>
      </c>
      <c r="D109" s="129" t="s">
        <v>262</v>
      </c>
      <c r="E109" s="242"/>
      <c r="F109" s="243">
        <v>3550</v>
      </c>
      <c r="G109" s="243"/>
      <c r="H109" s="101"/>
      <c r="I109" s="101"/>
      <c r="J109" s="101"/>
      <c r="K109" s="101"/>
      <c r="L109" s="101"/>
    </row>
  </sheetData>
  <mergeCells count="11">
    <mergeCell ref="B5:D5"/>
    <mergeCell ref="C6:D6"/>
    <mergeCell ref="C26:D26"/>
    <mergeCell ref="C46:D46"/>
    <mergeCell ref="C56:D56"/>
    <mergeCell ref="C66:D66"/>
    <mergeCell ref="C87:D87"/>
    <mergeCell ref="C96:D96"/>
    <mergeCell ref="C100:D100"/>
    <mergeCell ref="B104:D104"/>
    <mergeCell ref="C105:D10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9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55" workbookViewId="0" topLeftCell="A1">
      <selection activeCell="E25" sqref="E25"/>
    </sheetView>
  </sheetViews>
  <sheetFormatPr defaultColWidth="9.00390625" defaultRowHeight="12.75"/>
  <cols>
    <col min="1" max="2" width="6.00390625" style="244" customWidth="1"/>
    <col min="3" max="3" width="9.00390625" style="244" customWidth="1"/>
    <col min="4" max="4" width="5.50390625" style="244" customWidth="1"/>
    <col min="5" max="5" width="38.875" style="244" customWidth="1"/>
    <col min="6" max="6" width="16.125" style="244" customWidth="1"/>
    <col min="7" max="7" width="14.00390625" style="244" customWidth="1"/>
    <col min="8" max="8" width="12.25390625" style="244" customWidth="1"/>
    <col min="9" max="9" width="9.75390625" style="244" customWidth="1"/>
    <col min="10" max="10" width="11.625" style="244" customWidth="1"/>
    <col min="11" max="11" width="13.00390625" style="244" customWidth="1"/>
    <col min="12" max="12" width="11.375" style="244" customWidth="1"/>
    <col min="13" max="13" width="11.125" style="244" customWidth="1"/>
    <col min="14" max="14" width="17.50390625" style="244" customWidth="1"/>
    <col min="15" max="15" width="18.375" style="244" customWidth="1"/>
    <col min="16" max="16" width="12.00390625" style="244" customWidth="1"/>
    <col min="17" max="16384" width="9.00390625" style="244" customWidth="1"/>
  </cols>
  <sheetData>
    <row r="1" spans="2:16" ht="12.75">
      <c r="B1" s="245"/>
      <c r="C1" s="245"/>
      <c r="D1" s="245"/>
      <c r="E1" s="245"/>
      <c r="F1" s="245"/>
      <c r="G1" s="245"/>
      <c r="H1" s="245"/>
      <c r="I1" s="245"/>
      <c r="J1" s="3" t="s">
        <v>263</v>
      </c>
      <c r="K1" s="246"/>
      <c r="L1" s="246"/>
      <c r="M1" s="246"/>
      <c r="N1" s="247"/>
      <c r="O1" s="248"/>
      <c r="P1" s="248"/>
    </row>
    <row r="2" spans="2:16" ht="12.75">
      <c r="B2" s="245"/>
      <c r="C2" s="245"/>
      <c r="D2" s="245"/>
      <c r="E2" s="245"/>
      <c r="F2" s="245"/>
      <c r="G2" s="245"/>
      <c r="H2" s="245"/>
      <c r="I2" s="245"/>
      <c r="J2" s="3" t="s">
        <v>1</v>
      </c>
      <c r="K2" s="246"/>
      <c r="L2" s="246"/>
      <c r="M2" s="246"/>
      <c r="N2" s="247"/>
      <c r="O2" s="248"/>
      <c r="P2" s="248"/>
    </row>
    <row r="3" spans="2:16" ht="12.75">
      <c r="B3" s="245"/>
      <c r="C3" s="245"/>
      <c r="D3" s="245"/>
      <c r="E3" s="245"/>
      <c r="F3" s="245"/>
      <c r="G3" s="245"/>
      <c r="H3" s="245"/>
      <c r="I3" s="245"/>
      <c r="J3" s="4" t="s">
        <v>150</v>
      </c>
      <c r="K3" s="246"/>
      <c r="L3" s="246"/>
      <c r="M3" s="246"/>
      <c r="N3" s="247"/>
      <c r="O3" s="248"/>
      <c r="P3" s="248"/>
    </row>
    <row r="4" spans="2:14" ht="12.7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2:16" ht="21" customHeight="1">
      <c r="B5" s="249" t="s">
        <v>264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  <c r="P5" s="251"/>
    </row>
    <row r="6" spans="2:14" ht="12.75"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 t="s">
        <v>265</v>
      </c>
    </row>
    <row r="7" spans="1:14" ht="12.75">
      <c r="A7" s="252"/>
      <c r="B7" s="253"/>
      <c r="C7" s="253"/>
      <c r="D7" s="253"/>
      <c r="E7" s="252"/>
      <c r="F7" s="253"/>
      <c r="G7" s="254" t="s">
        <v>266</v>
      </c>
      <c r="H7" s="254"/>
      <c r="I7" s="254"/>
      <c r="J7" s="254"/>
      <c r="K7" s="254"/>
      <c r="L7" s="254"/>
      <c r="M7" s="254"/>
      <c r="N7" s="255" t="s">
        <v>267</v>
      </c>
    </row>
    <row r="8" spans="1:14" ht="12.75">
      <c r="A8" s="256"/>
      <c r="B8" s="257"/>
      <c r="C8" s="257"/>
      <c r="D8" s="257"/>
      <c r="E8" s="258" t="s">
        <v>268</v>
      </c>
      <c r="F8" s="257" t="s">
        <v>269</v>
      </c>
      <c r="G8" s="259" t="s">
        <v>270</v>
      </c>
      <c r="H8" s="260" t="s">
        <v>271</v>
      </c>
      <c r="I8" s="260"/>
      <c r="J8" s="260"/>
      <c r="K8" s="260"/>
      <c r="L8" s="261">
        <v>2009</v>
      </c>
      <c r="M8" s="260">
        <v>20010</v>
      </c>
      <c r="N8" s="262" t="s">
        <v>272</v>
      </c>
    </row>
    <row r="9" spans="1:14" ht="24.75">
      <c r="A9" s="258" t="s">
        <v>273</v>
      </c>
      <c r="B9" s="258" t="s">
        <v>10</v>
      </c>
      <c r="C9" s="258" t="s">
        <v>11</v>
      </c>
      <c r="D9" s="258" t="s">
        <v>12</v>
      </c>
      <c r="E9" s="258" t="s">
        <v>274</v>
      </c>
      <c r="F9" s="258" t="s">
        <v>275</v>
      </c>
      <c r="G9" s="262" t="s">
        <v>276</v>
      </c>
      <c r="H9" s="263" t="s">
        <v>277</v>
      </c>
      <c r="I9" s="259" t="s">
        <v>278</v>
      </c>
      <c r="J9" s="264" t="s">
        <v>279</v>
      </c>
      <c r="K9" s="263" t="s">
        <v>280</v>
      </c>
      <c r="L9" s="261"/>
      <c r="M9" s="260"/>
      <c r="N9" s="262" t="s">
        <v>281</v>
      </c>
    </row>
    <row r="10" spans="1:14" ht="24.75">
      <c r="A10" s="265"/>
      <c r="B10" s="266"/>
      <c r="C10" s="266"/>
      <c r="D10" s="266"/>
      <c r="E10" s="267" t="s">
        <v>282</v>
      </c>
      <c r="F10" s="267" t="s">
        <v>283</v>
      </c>
      <c r="G10" s="267" t="s">
        <v>284</v>
      </c>
      <c r="H10" s="268" t="s">
        <v>285</v>
      </c>
      <c r="I10" s="267" t="s">
        <v>286</v>
      </c>
      <c r="J10" s="269" t="s">
        <v>287</v>
      </c>
      <c r="K10" s="268" t="s">
        <v>288</v>
      </c>
      <c r="L10" s="261"/>
      <c r="M10" s="260"/>
      <c r="N10" s="268" t="s">
        <v>289</v>
      </c>
    </row>
    <row r="11" spans="1:14" ht="12.75">
      <c r="A11" s="270">
        <v>1</v>
      </c>
      <c r="B11" s="270">
        <v>2</v>
      </c>
      <c r="C11" s="270">
        <v>3</v>
      </c>
      <c r="D11" s="270">
        <v>4</v>
      </c>
      <c r="E11" s="270">
        <v>5</v>
      </c>
      <c r="F11" s="270">
        <v>6</v>
      </c>
      <c r="G11" s="270">
        <v>7</v>
      </c>
      <c r="H11" s="270">
        <v>8</v>
      </c>
      <c r="I11" s="270">
        <v>9</v>
      </c>
      <c r="J11" s="270">
        <v>10</v>
      </c>
      <c r="K11" s="270">
        <v>11</v>
      </c>
      <c r="L11" s="270">
        <v>12</v>
      </c>
      <c r="M11" s="270">
        <v>13</v>
      </c>
      <c r="N11" s="271">
        <v>14</v>
      </c>
    </row>
    <row r="12" spans="1:14" ht="24.75">
      <c r="A12" s="260">
        <v>1</v>
      </c>
      <c r="B12" s="272" t="s">
        <v>15</v>
      </c>
      <c r="C12" s="272" t="s">
        <v>163</v>
      </c>
      <c r="D12" s="272" t="s">
        <v>290</v>
      </c>
      <c r="E12" s="273" t="s">
        <v>291</v>
      </c>
      <c r="F12" s="274">
        <f>SUM(G12,L12,M12)</f>
        <v>2800000</v>
      </c>
      <c r="G12" s="275">
        <f>SUM(H12:K12)</f>
        <v>50000</v>
      </c>
      <c r="H12" s="275">
        <v>50000</v>
      </c>
      <c r="I12" s="275"/>
      <c r="J12" s="276"/>
      <c r="K12" s="275"/>
      <c r="L12" s="275">
        <v>2750000</v>
      </c>
      <c r="M12" s="275"/>
      <c r="N12" s="277" t="s">
        <v>292</v>
      </c>
    </row>
    <row r="13" spans="1:14" ht="36.75">
      <c r="A13" s="260">
        <v>2</v>
      </c>
      <c r="B13" s="272" t="s">
        <v>293</v>
      </c>
      <c r="C13" s="272" t="s">
        <v>178</v>
      </c>
      <c r="D13" s="272" t="s">
        <v>290</v>
      </c>
      <c r="E13" s="273" t="s">
        <v>294</v>
      </c>
      <c r="F13" s="274">
        <f>SUM(G13,L13,M13)</f>
        <v>3763001</v>
      </c>
      <c r="G13" s="275">
        <f>SUM(H13:K13)</f>
        <v>50000</v>
      </c>
      <c r="H13" s="275">
        <v>50000</v>
      </c>
      <c r="I13" s="275"/>
      <c r="J13" s="275"/>
      <c r="K13" s="275"/>
      <c r="L13" s="274">
        <v>1713001</v>
      </c>
      <c r="M13" s="274">
        <v>2000000</v>
      </c>
      <c r="N13" s="277" t="s">
        <v>292</v>
      </c>
    </row>
    <row r="14" spans="1:14" ht="24.75">
      <c r="A14" s="260">
        <v>3</v>
      </c>
      <c r="B14" s="272" t="s">
        <v>295</v>
      </c>
      <c r="C14" s="272" t="s">
        <v>296</v>
      </c>
      <c r="D14" s="272" t="s">
        <v>290</v>
      </c>
      <c r="E14" s="273" t="s">
        <v>297</v>
      </c>
      <c r="F14" s="274">
        <f>SUM(G14,L14,M14)</f>
        <v>315000</v>
      </c>
      <c r="G14" s="275">
        <f>SUM(H14:K14)</f>
        <v>15000</v>
      </c>
      <c r="H14" s="275">
        <v>15000</v>
      </c>
      <c r="I14" s="275"/>
      <c r="J14" s="275"/>
      <c r="K14" s="275"/>
      <c r="L14" s="275">
        <v>300000</v>
      </c>
      <c r="M14" s="274"/>
      <c r="N14" s="8" t="s">
        <v>298</v>
      </c>
    </row>
    <row r="15" spans="1:14" ht="24.75">
      <c r="A15" s="260">
        <v>4</v>
      </c>
      <c r="B15" s="272" t="s">
        <v>142</v>
      </c>
      <c r="C15" s="272" t="s">
        <v>299</v>
      </c>
      <c r="D15" s="272" t="s">
        <v>290</v>
      </c>
      <c r="E15" s="273" t="s">
        <v>300</v>
      </c>
      <c r="F15" s="274">
        <f>SUM(G15,L15,M15)</f>
        <v>315000</v>
      </c>
      <c r="G15" s="275">
        <f>SUM(H15:K15)</f>
        <v>15000</v>
      </c>
      <c r="H15" s="275">
        <v>15000</v>
      </c>
      <c r="I15" s="275"/>
      <c r="J15" s="275"/>
      <c r="K15" s="275"/>
      <c r="L15" s="275">
        <v>300000</v>
      </c>
      <c r="M15" s="275"/>
      <c r="N15" s="278" t="s">
        <v>292</v>
      </c>
    </row>
    <row r="16" spans="1:14" ht="24.75">
      <c r="A16" s="260">
        <v>5</v>
      </c>
      <c r="B16" s="272" t="s">
        <v>142</v>
      </c>
      <c r="C16" s="272" t="s">
        <v>299</v>
      </c>
      <c r="D16" s="272" t="s">
        <v>290</v>
      </c>
      <c r="E16" s="273" t="s">
        <v>301</v>
      </c>
      <c r="F16" s="274">
        <f>SUM(G16,L16,M16)</f>
        <v>278800</v>
      </c>
      <c r="G16" s="275">
        <f>SUM(H16:K16)</f>
        <v>13000</v>
      </c>
      <c r="H16" s="275">
        <v>13000</v>
      </c>
      <c r="I16" s="275"/>
      <c r="J16" s="275"/>
      <c r="K16" s="275"/>
      <c r="L16" s="275">
        <v>258000</v>
      </c>
      <c r="M16" s="275">
        <v>7800</v>
      </c>
      <c r="N16" s="278" t="s">
        <v>292</v>
      </c>
    </row>
    <row r="17" spans="1:14" ht="26.25" customHeight="1">
      <c r="A17" s="260" t="s">
        <v>302</v>
      </c>
      <c r="B17" s="260"/>
      <c r="C17" s="260"/>
      <c r="D17" s="260"/>
      <c r="E17" s="260"/>
      <c r="F17" s="279">
        <f>SUM(F12:F16)</f>
        <v>7471801</v>
      </c>
      <c r="G17" s="279">
        <f>SUM(G12:G16)</f>
        <v>143000</v>
      </c>
      <c r="H17" s="279">
        <f>SUM(H12:H16)</f>
        <v>143000</v>
      </c>
      <c r="I17" s="279">
        <f>SUM(I12:I16)</f>
        <v>0</v>
      </c>
      <c r="J17" s="279">
        <f>SUM(J12:J16)</f>
        <v>0</v>
      </c>
      <c r="K17" s="279">
        <f>SUM(K12:K16)</f>
        <v>0</v>
      </c>
      <c r="L17" s="279">
        <f>SUM(L12:L16)</f>
        <v>5321001</v>
      </c>
      <c r="M17" s="279">
        <f>SUM(M12:M16)</f>
        <v>2007800</v>
      </c>
      <c r="N17" s="280"/>
    </row>
    <row r="18" ht="15" customHeight="1"/>
    <row r="19" spans="2:15" ht="15">
      <c r="B19" s="245"/>
      <c r="C19" s="245"/>
      <c r="D19" s="245"/>
      <c r="E19" s="245"/>
      <c r="F19" s="245"/>
      <c r="G19" s="281"/>
      <c r="H19" s="281"/>
      <c r="I19" s="281"/>
      <c r="J19" s="281"/>
      <c r="K19" s="281"/>
      <c r="L19" s="282"/>
      <c r="M19" s="282"/>
      <c r="N19" s="282"/>
      <c r="O19" s="245"/>
    </row>
    <row r="20" spans="3:15" ht="15">
      <c r="C20" s="283" t="s">
        <v>45</v>
      </c>
      <c r="D20" s="283"/>
      <c r="E20" s="284"/>
      <c r="H20" s="285"/>
      <c r="I20" s="285"/>
      <c r="J20" s="245"/>
      <c r="K20" s="286"/>
      <c r="L20" s="286"/>
      <c r="M20" s="286"/>
      <c r="O20" s="283"/>
    </row>
    <row r="21" spans="8:13" ht="12.75">
      <c r="H21" s="285"/>
      <c r="I21" s="285"/>
      <c r="J21" s="245"/>
      <c r="K21" s="286"/>
      <c r="L21" s="286"/>
      <c r="M21" s="286"/>
    </row>
    <row r="22" spans="8:13" ht="13.5">
      <c r="H22" s="285"/>
      <c r="I22" s="285"/>
      <c r="J22" s="287"/>
      <c r="K22" s="287"/>
      <c r="L22" s="287"/>
      <c r="M22" s="287"/>
    </row>
    <row r="23" ht="12.75">
      <c r="H23" s="285"/>
    </row>
    <row r="24" ht="12.75">
      <c r="H24" s="285"/>
    </row>
    <row r="25" ht="12.75">
      <c r="H25" s="285"/>
    </row>
  </sheetData>
  <mergeCells count="5">
    <mergeCell ref="G7:M7"/>
    <mergeCell ref="H8:K8"/>
    <mergeCell ref="L8:L10"/>
    <mergeCell ref="M8:M10"/>
    <mergeCell ref="A17:E17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2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55" workbookViewId="0" topLeftCell="A1">
      <selection activeCell="A12" sqref="A12"/>
    </sheetView>
  </sheetViews>
  <sheetFormatPr defaultColWidth="9.00390625" defaultRowHeight="12.75"/>
  <cols>
    <col min="1" max="2" width="6.00390625" style="2" customWidth="1"/>
    <col min="3" max="3" width="9.00390625" style="2" customWidth="1"/>
    <col min="4" max="4" width="8.25390625" style="2" customWidth="1"/>
    <col min="5" max="5" width="41.375" style="2" customWidth="1"/>
    <col min="6" max="6" width="16.125" style="2" customWidth="1"/>
    <col min="7" max="7" width="14.00390625" style="2" customWidth="1"/>
    <col min="8" max="8" width="12.25390625" style="2" customWidth="1"/>
    <col min="9" max="9" width="9.75390625" style="2" customWidth="1"/>
    <col min="10" max="10" width="11.625" style="2" customWidth="1"/>
    <col min="11" max="11" width="13.00390625" style="2" customWidth="1"/>
    <col min="12" max="12" width="17.125" style="2" customWidth="1"/>
    <col min="13" max="13" width="18.375" style="2" customWidth="1"/>
    <col min="14" max="14" width="12.00390625" style="2" customWidth="1"/>
    <col min="15" max="254" width="9.00390625" style="2" customWidth="1"/>
  </cols>
  <sheetData>
    <row r="1" spans="2:14" ht="12.75">
      <c r="B1" s="288"/>
      <c r="C1" s="288"/>
      <c r="D1" s="288"/>
      <c r="E1" s="288"/>
      <c r="F1" s="288"/>
      <c r="G1" s="288"/>
      <c r="H1" s="288"/>
      <c r="I1" s="288"/>
      <c r="J1" s="3" t="s">
        <v>303</v>
      </c>
      <c r="K1" s="3"/>
      <c r="L1" s="289"/>
      <c r="M1" s="290"/>
      <c r="N1" s="290"/>
    </row>
    <row r="2" spans="2:14" ht="12.75">
      <c r="B2" s="288"/>
      <c r="C2" s="288"/>
      <c r="D2" s="288"/>
      <c r="E2" s="288"/>
      <c r="F2" s="288"/>
      <c r="G2" s="288"/>
      <c r="H2" s="288"/>
      <c r="I2" s="288"/>
      <c r="J2" s="3" t="s">
        <v>1</v>
      </c>
      <c r="K2" s="3"/>
      <c r="L2" s="289"/>
      <c r="M2" s="290"/>
      <c r="N2" s="290"/>
    </row>
    <row r="3" spans="2:14" ht="12.75">
      <c r="B3" s="288"/>
      <c r="C3" s="288"/>
      <c r="D3" s="288"/>
      <c r="E3" s="288"/>
      <c r="F3" s="288"/>
      <c r="G3" s="288"/>
      <c r="H3" s="288"/>
      <c r="I3" s="288"/>
      <c r="J3" s="4" t="s">
        <v>150</v>
      </c>
      <c r="K3" s="3"/>
      <c r="L3" s="289"/>
      <c r="M3" s="290"/>
      <c r="N3" s="290"/>
    </row>
    <row r="4" spans="2:12" ht="12.75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2:14" ht="21" customHeight="1">
      <c r="B5" s="291" t="s">
        <v>304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  <c r="N5" s="293"/>
    </row>
    <row r="6" spans="2:12" ht="12.75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 t="s">
        <v>265</v>
      </c>
    </row>
    <row r="7" spans="1:12" ht="12.75">
      <c r="A7" s="294"/>
      <c r="B7" s="295"/>
      <c r="C7" s="295"/>
      <c r="D7" s="295"/>
      <c r="E7" s="294"/>
      <c r="F7" s="295"/>
      <c r="G7" s="147" t="s">
        <v>266</v>
      </c>
      <c r="H7" s="147"/>
      <c r="I7" s="147"/>
      <c r="J7" s="147"/>
      <c r="K7" s="147"/>
      <c r="L7" s="296" t="s">
        <v>267</v>
      </c>
    </row>
    <row r="8" spans="1:12" ht="12.75">
      <c r="A8" s="297"/>
      <c r="B8" s="298"/>
      <c r="C8" s="298"/>
      <c r="D8" s="299"/>
      <c r="E8" s="177" t="s">
        <v>268</v>
      </c>
      <c r="F8" s="298" t="s">
        <v>269</v>
      </c>
      <c r="G8" s="300" t="s">
        <v>270</v>
      </c>
      <c r="H8" s="7" t="s">
        <v>271</v>
      </c>
      <c r="I8" s="7"/>
      <c r="J8" s="7"/>
      <c r="K8" s="7"/>
      <c r="L8" s="301" t="s">
        <v>272</v>
      </c>
    </row>
    <row r="9" spans="1:12" ht="24.75">
      <c r="A9" s="177" t="s">
        <v>273</v>
      </c>
      <c r="B9" s="177" t="s">
        <v>10</v>
      </c>
      <c r="C9" s="177" t="s">
        <v>11</v>
      </c>
      <c r="D9" s="302" t="s">
        <v>12</v>
      </c>
      <c r="E9" s="177" t="s">
        <v>274</v>
      </c>
      <c r="F9" s="177" t="s">
        <v>275</v>
      </c>
      <c r="G9" s="301" t="s">
        <v>276</v>
      </c>
      <c r="H9" s="303" t="s">
        <v>277</v>
      </c>
      <c r="I9" s="300" t="s">
        <v>278</v>
      </c>
      <c r="J9" s="304" t="s">
        <v>279</v>
      </c>
      <c r="K9" s="303" t="s">
        <v>280</v>
      </c>
      <c r="L9" s="301" t="s">
        <v>281</v>
      </c>
    </row>
    <row r="10" spans="1:12" ht="24.75">
      <c r="A10" s="305"/>
      <c r="B10" s="306"/>
      <c r="C10" s="306"/>
      <c r="D10" s="306"/>
      <c r="E10" s="178" t="s">
        <v>282</v>
      </c>
      <c r="F10" s="178" t="s">
        <v>283</v>
      </c>
      <c r="G10" s="178" t="s">
        <v>284</v>
      </c>
      <c r="H10" s="307" t="s">
        <v>285</v>
      </c>
      <c r="I10" s="178" t="s">
        <v>286</v>
      </c>
      <c r="J10" s="308" t="s">
        <v>287</v>
      </c>
      <c r="K10" s="307" t="s">
        <v>288</v>
      </c>
      <c r="L10" s="307" t="s">
        <v>289</v>
      </c>
    </row>
    <row r="11" spans="1:12" ht="12.75">
      <c r="A11" s="309">
        <v>1</v>
      </c>
      <c r="B11" s="309">
        <v>2</v>
      </c>
      <c r="C11" s="309">
        <v>3</v>
      </c>
      <c r="D11" s="309">
        <v>4</v>
      </c>
      <c r="E11" s="309">
        <v>5</v>
      </c>
      <c r="F11" s="309">
        <v>6</v>
      </c>
      <c r="G11" s="309">
        <v>7</v>
      </c>
      <c r="H11" s="309">
        <v>8</v>
      </c>
      <c r="I11" s="309">
        <v>9</v>
      </c>
      <c r="J11" s="309">
        <v>10</v>
      </c>
      <c r="K11" s="309">
        <v>11</v>
      </c>
      <c r="L11" s="309">
        <v>12</v>
      </c>
    </row>
    <row r="12" spans="1:12" ht="24.75">
      <c r="A12" s="7">
        <v>1</v>
      </c>
      <c r="B12" s="181" t="s">
        <v>15</v>
      </c>
      <c r="C12" s="181" t="s">
        <v>163</v>
      </c>
      <c r="D12" s="181" t="s">
        <v>290</v>
      </c>
      <c r="E12" s="310" t="s">
        <v>305</v>
      </c>
      <c r="F12" s="311">
        <f>SUM(H12:K12)</f>
        <v>35000</v>
      </c>
      <c r="G12" s="312">
        <f>SUM(H12:K12)</f>
        <v>35000</v>
      </c>
      <c r="H12" s="312">
        <f>10000+25000</f>
        <v>35000</v>
      </c>
      <c r="I12" s="312"/>
      <c r="J12" s="313"/>
      <c r="K12" s="313"/>
      <c r="L12" s="8" t="s">
        <v>292</v>
      </c>
    </row>
    <row r="13" spans="1:12" ht="24.75">
      <c r="A13" s="7">
        <v>2</v>
      </c>
      <c r="B13" s="272" t="s">
        <v>15</v>
      </c>
      <c r="C13" s="272" t="s">
        <v>20</v>
      </c>
      <c r="D13" s="272" t="s">
        <v>306</v>
      </c>
      <c r="E13" s="314" t="s">
        <v>307</v>
      </c>
      <c r="F13" s="311">
        <f>SUM(H13:K13)</f>
        <v>300000</v>
      </c>
      <c r="G13" s="312">
        <f>SUM(H13:K13)</f>
        <v>300000</v>
      </c>
      <c r="H13" s="312">
        <f>300000*0.5</f>
        <v>150000</v>
      </c>
      <c r="I13" s="312"/>
      <c r="J13" s="313"/>
      <c r="K13" s="312">
        <f>300000*0.5</f>
        <v>150000</v>
      </c>
      <c r="L13" s="8" t="s">
        <v>292</v>
      </c>
    </row>
    <row r="14" spans="1:12" ht="24.75">
      <c r="A14" s="7">
        <v>3</v>
      </c>
      <c r="B14" s="181" t="s">
        <v>15</v>
      </c>
      <c r="C14" s="181" t="s">
        <v>20</v>
      </c>
      <c r="D14" s="181" t="s">
        <v>306</v>
      </c>
      <c r="E14" s="315" t="s">
        <v>308</v>
      </c>
      <c r="F14" s="311">
        <f>SUM(H14:K14)</f>
        <v>200000</v>
      </c>
      <c r="G14" s="312">
        <f>SUM(H14:K14)</f>
        <v>200000</v>
      </c>
      <c r="H14" s="312">
        <f>200000*0.3</f>
        <v>60000.00000000001</v>
      </c>
      <c r="I14" s="312"/>
      <c r="J14" s="312"/>
      <c r="K14" s="312">
        <f>200000*0.7</f>
        <v>140000</v>
      </c>
      <c r="L14" s="8" t="s">
        <v>292</v>
      </c>
    </row>
    <row r="15" spans="1:12" ht="24.75">
      <c r="A15" s="7">
        <v>4</v>
      </c>
      <c r="B15" s="272" t="s">
        <v>15</v>
      </c>
      <c r="C15" s="272" t="s">
        <v>20</v>
      </c>
      <c r="D15" s="272" t="s">
        <v>306</v>
      </c>
      <c r="E15" s="314" t="s">
        <v>309</v>
      </c>
      <c r="F15" s="311">
        <f>SUM(H15:K15)</f>
        <v>250000</v>
      </c>
      <c r="G15" s="312">
        <f>SUM(H15:K15)</f>
        <v>250000</v>
      </c>
      <c r="H15" s="275">
        <f>250000*0.5</f>
        <v>125000</v>
      </c>
      <c r="I15" s="275"/>
      <c r="J15" s="275"/>
      <c r="K15" s="275">
        <f>250000*0.5</f>
        <v>125000</v>
      </c>
      <c r="L15" s="8" t="s">
        <v>292</v>
      </c>
    </row>
    <row r="16" spans="1:12" ht="24.75">
      <c r="A16" s="7">
        <v>5</v>
      </c>
      <c r="B16" s="272" t="s">
        <v>15</v>
      </c>
      <c r="C16" s="272" t="s">
        <v>20</v>
      </c>
      <c r="D16" s="272" t="s">
        <v>306</v>
      </c>
      <c r="E16" s="314" t="s">
        <v>310</v>
      </c>
      <c r="F16" s="311">
        <f>SUM(H16:K16)</f>
        <v>300000.00000000006</v>
      </c>
      <c r="G16" s="312">
        <f>SUM(H16:K16)</f>
        <v>300000.00000000006</v>
      </c>
      <c r="H16" s="275">
        <f>300000*0.3</f>
        <v>90000.00000000001</v>
      </c>
      <c r="I16" s="275"/>
      <c r="J16" s="275"/>
      <c r="K16" s="275">
        <f>300000*0.7</f>
        <v>210000.00000000003</v>
      </c>
      <c r="L16" s="8" t="s">
        <v>292</v>
      </c>
    </row>
    <row r="17" spans="1:12" ht="24.75">
      <c r="A17" s="7">
        <v>6</v>
      </c>
      <c r="B17" s="181" t="s">
        <v>293</v>
      </c>
      <c r="C17" s="181" t="s">
        <v>178</v>
      </c>
      <c r="D17" s="181" t="s">
        <v>290</v>
      </c>
      <c r="E17" s="310" t="s">
        <v>311</v>
      </c>
      <c r="F17" s="311">
        <f>SUM(H17:K17)</f>
        <v>40000</v>
      </c>
      <c r="G17" s="312">
        <f>SUM(H17:K17)</f>
        <v>40000</v>
      </c>
      <c r="H17" s="312">
        <v>40000</v>
      </c>
      <c r="I17" s="312"/>
      <c r="J17" s="312"/>
      <c r="K17" s="312"/>
      <c r="L17" s="8" t="s">
        <v>292</v>
      </c>
    </row>
    <row r="18" spans="1:12" ht="24.75">
      <c r="A18" s="7">
        <v>7</v>
      </c>
      <c r="B18" s="181" t="s">
        <v>32</v>
      </c>
      <c r="C18" s="181" t="s">
        <v>34</v>
      </c>
      <c r="D18" s="181" t="s">
        <v>290</v>
      </c>
      <c r="E18" s="315" t="s">
        <v>312</v>
      </c>
      <c r="F18" s="311">
        <f>SUM(H18:K18)</f>
        <v>20000</v>
      </c>
      <c r="G18" s="312">
        <f>SUM(H18:K18)</f>
        <v>20000</v>
      </c>
      <c r="H18" s="312">
        <v>20000</v>
      </c>
      <c r="I18" s="312"/>
      <c r="J18" s="312"/>
      <c r="K18" s="312"/>
      <c r="L18" s="8" t="s">
        <v>292</v>
      </c>
    </row>
    <row r="19" spans="1:12" ht="24.75">
      <c r="A19" s="7">
        <v>8</v>
      </c>
      <c r="B19" s="181" t="s">
        <v>50</v>
      </c>
      <c r="C19" s="181" t="s">
        <v>313</v>
      </c>
      <c r="D19" s="181" t="s">
        <v>290</v>
      </c>
      <c r="E19" s="315" t="s">
        <v>314</v>
      </c>
      <c r="F19" s="311">
        <f>SUM(H19:K19)</f>
        <v>5000</v>
      </c>
      <c r="G19" s="312">
        <f>SUM(H19:K19)</f>
        <v>5000</v>
      </c>
      <c r="H19" s="312">
        <v>5000</v>
      </c>
      <c r="I19" s="312"/>
      <c r="J19" s="312"/>
      <c r="K19" s="312"/>
      <c r="L19" s="8" t="s">
        <v>292</v>
      </c>
    </row>
    <row r="20" spans="1:12" ht="24.75">
      <c r="A20" s="7">
        <v>9</v>
      </c>
      <c r="B20" s="181" t="s">
        <v>142</v>
      </c>
      <c r="C20" s="181" t="s">
        <v>315</v>
      </c>
      <c r="D20" s="181" t="s">
        <v>290</v>
      </c>
      <c r="E20" s="315" t="s">
        <v>316</v>
      </c>
      <c r="F20" s="311">
        <f>SUM(H20:K20)</f>
        <v>20000</v>
      </c>
      <c r="G20" s="312">
        <f>SUM(H20:K20)</f>
        <v>20000</v>
      </c>
      <c r="H20" s="312">
        <v>20000</v>
      </c>
      <c r="I20" s="312"/>
      <c r="J20" s="312"/>
      <c r="K20" s="312"/>
      <c r="L20" s="8" t="s">
        <v>292</v>
      </c>
    </row>
    <row r="21" spans="1:12" ht="24.75">
      <c r="A21" s="7">
        <v>10</v>
      </c>
      <c r="B21" s="181" t="s">
        <v>142</v>
      </c>
      <c r="C21" s="181" t="s">
        <v>299</v>
      </c>
      <c r="D21" s="181" t="s">
        <v>290</v>
      </c>
      <c r="E21" s="310" t="s">
        <v>317</v>
      </c>
      <c r="F21" s="311">
        <f>SUM(H21:K21)</f>
        <v>25000</v>
      </c>
      <c r="G21" s="312">
        <f>SUM(H21:K21)</f>
        <v>25000</v>
      </c>
      <c r="H21" s="312">
        <v>25000</v>
      </c>
      <c r="I21" s="312"/>
      <c r="J21" s="312"/>
      <c r="K21" s="312"/>
      <c r="L21" s="8" t="s">
        <v>292</v>
      </c>
    </row>
    <row r="22" spans="1:12" ht="26.25" customHeight="1">
      <c r="A22" s="7" t="s">
        <v>302</v>
      </c>
      <c r="B22" s="7"/>
      <c r="C22" s="7"/>
      <c r="D22" s="7"/>
      <c r="E22" s="7"/>
      <c r="F22" s="316">
        <f>SUM(F12:F21)</f>
        <v>1195000</v>
      </c>
      <c r="G22" s="316">
        <f>SUM(G12:G21)</f>
        <v>1195000</v>
      </c>
      <c r="H22" s="316">
        <f>SUM(H12:H21)</f>
        <v>570000</v>
      </c>
      <c r="I22" s="316">
        <f>SUM(I12:I21)</f>
        <v>0</v>
      </c>
      <c r="J22" s="316">
        <f>SUM(J12:J21)</f>
        <v>0</v>
      </c>
      <c r="K22" s="316">
        <f>SUM(K12:K21)</f>
        <v>625000</v>
      </c>
      <c r="L22" s="317"/>
    </row>
    <row r="23" ht="15" customHeight="1"/>
    <row r="24" spans="2:13" ht="15">
      <c r="B24" s="288"/>
      <c r="C24" s="288"/>
      <c r="D24" s="288"/>
      <c r="E24" s="288"/>
      <c r="F24" s="288"/>
      <c r="G24" s="288"/>
      <c r="H24" s="288"/>
      <c r="I24" s="318"/>
      <c r="J24" s="319"/>
      <c r="K24" s="319"/>
      <c r="L24" s="319"/>
      <c r="M24" s="288"/>
    </row>
    <row r="25" spans="3:13" ht="15">
      <c r="C25" s="320" t="s">
        <v>45</v>
      </c>
      <c r="D25" s="320"/>
      <c r="E25" s="321"/>
      <c r="H25" s="322"/>
      <c r="I25" s="322"/>
      <c r="J25" s="288"/>
      <c r="K25" s="102"/>
      <c r="M25" s="320"/>
    </row>
    <row r="26" spans="8:11" ht="12.75">
      <c r="H26" s="322"/>
      <c r="I26" s="322"/>
      <c r="J26" s="288"/>
      <c r="K26" s="102"/>
    </row>
    <row r="27" spans="8:11" ht="13.5">
      <c r="H27" s="322"/>
      <c r="I27" s="322"/>
      <c r="J27" s="323"/>
      <c r="K27" s="323"/>
    </row>
    <row r="28" spans="5:8" ht="12.75">
      <c r="E28" s="324"/>
      <c r="H28" s="322"/>
    </row>
    <row r="29" ht="12.75">
      <c r="H29" s="322"/>
    </row>
    <row r="30" ht="12.75">
      <c r="H30" s="322"/>
    </row>
  </sheetData>
  <mergeCells count="3">
    <mergeCell ref="G7:K7"/>
    <mergeCell ref="H8:K8"/>
    <mergeCell ref="A22:E22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zoomScaleSheetLayoutView="55" workbookViewId="0" topLeftCell="A13">
      <selection activeCell="O45" sqref="O45"/>
    </sheetView>
  </sheetViews>
  <sheetFormatPr defaultColWidth="12.00390625" defaultRowHeight="12.75"/>
  <cols>
    <col min="1" max="1" width="5.125" style="0" customWidth="1"/>
    <col min="2" max="2" width="21.625" style="0" customWidth="1"/>
    <col min="3" max="3" width="11.625" style="0" customWidth="1"/>
    <col min="4" max="4" width="12.75390625" style="0" customWidth="1"/>
    <col min="5" max="13" width="11.625" style="0" customWidth="1"/>
    <col min="14" max="14" width="12.50390625" style="0" customWidth="1"/>
    <col min="15" max="16" width="9.125" style="0" customWidth="1"/>
    <col min="17" max="17" width="9.375" style="0" customWidth="1"/>
    <col min="18" max="16384" width="11.625" style="0" customWidth="1"/>
  </cols>
  <sheetData>
    <row r="1" spans="1:19" ht="12.75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4" t="s">
        <v>318</v>
      </c>
      <c r="P1" s="325"/>
      <c r="Q1" s="325"/>
      <c r="R1" s="326"/>
      <c r="S1" s="326"/>
    </row>
    <row r="2" spans="1:19" ht="12.7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4" t="s">
        <v>1</v>
      </c>
      <c r="P2" s="325"/>
      <c r="Q2" s="325"/>
      <c r="R2" s="326"/>
      <c r="S2" s="326"/>
    </row>
    <row r="3" spans="1:19" ht="12.7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4" t="s">
        <v>150</v>
      </c>
      <c r="P3" s="325"/>
      <c r="Q3" s="325"/>
      <c r="R3" s="326"/>
      <c r="S3" s="326"/>
    </row>
    <row r="4" spans="1:19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  <c r="S4" s="326"/>
    </row>
    <row r="5" spans="1:19" ht="12.75">
      <c r="A5" s="325" t="s">
        <v>319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6"/>
      <c r="S5" s="326"/>
    </row>
    <row r="6" spans="1:19" ht="12.75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ht="12.75">
      <c r="A7" s="327" t="s">
        <v>320</v>
      </c>
      <c r="B7" s="327" t="s">
        <v>321</v>
      </c>
      <c r="C7" s="328" t="s">
        <v>322</v>
      </c>
      <c r="D7" s="328" t="s">
        <v>323</v>
      </c>
      <c r="E7" s="328" t="s">
        <v>324</v>
      </c>
      <c r="F7" s="327" t="s">
        <v>155</v>
      </c>
      <c r="G7" s="327"/>
      <c r="H7" s="327" t="s">
        <v>325</v>
      </c>
      <c r="I7" s="327"/>
      <c r="J7" s="327"/>
      <c r="K7" s="327"/>
      <c r="L7" s="327"/>
      <c r="M7" s="327"/>
      <c r="N7" s="327"/>
      <c r="O7" s="327"/>
      <c r="P7" s="327"/>
      <c r="Q7" s="327"/>
      <c r="R7" s="326"/>
      <c r="S7" s="326"/>
    </row>
    <row r="8" spans="1:19" ht="12.75">
      <c r="A8" s="327"/>
      <c r="B8" s="327"/>
      <c r="C8" s="328"/>
      <c r="D8" s="328"/>
      <c r="E8" s="328"/>
      <c r="F8" s="328" t="s">
        <v>326</v>
      </c>
      <c r="G8" s="328" t="s">
        <v>327</v>
      </c>
      <c r="H8" s="327">
        <v>2008</v>
      </c>
      <c r="I8" s="327"/>
      <c r="J8" s="327"/>
      <c r="K8" s="327"/>
      <c r="L8" s="327"/>
      <c r="M8" s="327"/>
      <c r="N8" s="327"/>
      <c r="O8" s="327"/>
      <c r="P8" s="327"/>
      <c r="Q8" s="327"/>
      <c r="R8" s="326"/>
      <c r="S8" s="326"/>
    </row>
    <row r="9" spans="1:19" ht="12.75">
      <c r="A9" s="327"/>
      <c r="B9" s="327"/>
      <c r="C9" s="328"/>
      <c r="D9" s="328"/>
      <c r="E9" s="328"/>
      <c r="F9" s="328"/>
      <c r="G9" s="328"/>
      <c r="H9" s="328" t="s">
        <v>328</v>
      </c>
      <c r="I9" s="327" t="s">
        <v>157</v>
      </c>
      <c r="J9" s="327"/>
      <c r="K9" s="327"/>
      <c r="L9" s="327"/>
      <c r="M9" s="327"/>
      <c r="N9" s="327"/>
      <c r="O9" s="327"/>
      <c r="P9" s="327"/>
      <c r="Q9" s="327"/>
      <c r="R9" s="326"/>
      <c r="S9" s="326"/>
    </row>
    <row r="10" spans="1:19" ht="12.75">
      <c r="A10" s="327"/>
      <c r="B10" s="327"/>
      <c r="C10" s="328"/>
      <c r="D10" s="328"/>
      <c r="E10" s="328"/>
      <c r="F10" s="328"/>
      <c r="G10" s="328"/>
      <c r="H10" s="328"/>
      <c r="I10" s="327" t="s">
        <v>329</v>
      </c>
      <c r="J10" s="327"/>
      <c r="K10" s="327"/>
      <c r="L10" s="327"/>
      <c r="M10" s="327" t="s">
        <v>327</v>
      </c>
      <c r="N10" s="327"/>
      <c r="O10" s="327"/>
      <c r="P10" s="327"/>
      <c r="Q10" s="327"/>
      <c r="R10" s="326"/>
      <c r="S10" s="326"/>
    </row>
    <row r="11" spans="1:19" ht="12.75">
      <c r="A11" s="327"/>
      <c r="B11" s="327"/>
      <c r="C11" s="328"/>
      <c r="D11" s="328"/>
      <c r="E11" s="328"/>
      <c r="F11" s="328"/>
      <c r="G11" s="328"/>
      <c r="H11" s="328"/>
      <c r="I11" s="328" t="s">
        <v>330</v>
      </c>
      <c r="J11" s="327" t="s">
        <v>331</v>
      </c>
      <c r="K11" s="327"/>
      <c r="L11" s="327"/>
      <c r="M11" s="328" t="s">
        <v>332</v>
      </c>
      <c r="N11" s="328" t="s">
        <v>331</v>
      </c>
      <c r="O11" s="328"/>
      <c r="P11" s="328"/>
      <c r="Q11" s="328"/>
      <c r="R11" s="326"/>
      <c r="S11" s="326"/>
    </row>
    <row r="12" spans="1:19" ht="42.75">
      <c r="A12" s="327"/>
      <c r="B12" s="327"/>
      <c r="C12" s="328"/>
      <c r="D12" s="328"/>
      <c r="E12" s="328"/>
      <c r="F12" s="328"/>
      <c r="G12" s="328"/>
      <c r="H12" s="328"/>
      <c r="I12" s="328"/>
      <c r="J12" s="328" t="s">
        <v>333</v>
      </c>
      <c r="K12" s="328" t="s">
        <v>334</v>
      </c>
      <c r="L12" s="328" t="s">
        <v>335</v>
      </c>
      <c r="M12" s="328"/>
      <c r="N12" s="328" t="s">
        <v>336</v>
      </c>
      <c r="O12" s="328" t="s">
        <v>333</v>
      </c>
      <c r="P12" s="328" t="s">
        <v>334</v>
      </c>
      <c r="Q12" s="328" t="s">
        <v>337</v>
      </c>
      <c r="R12" s="326"/>
      <c r="S12" s="326"/>
    </row>
    <row r="13" spans="1:19" ht="12.75">
      <c r="A13" s="329">
        <v>1</v>
      </c>
      <c r="B13" s="329">
        <v>2</v>
      </c>
      <c r="C13" s="329">
        <v>3</v>
      </c>
      <c r="D13" s="329">
        <v>4</v>
      </c>
      <c r="E13" s="329">
        <v>5</v>
      </c>
      <c r="F13" s="329">
        <v>6</v>
      </c>
      <c r="G13" s="329">
        <v>7</v>
      </c>
      <c r="H13" s="329">
        <v>8</v>
      </c>
      <c r="I13" s="329">
        <v>9</v>
      </c>
      <c r="J13" s="329">
        <v>10</v>
      </c>
      <c r="K13" s="329">
        <v>11</v>
      </c>
      <c r="L13" s="329">
        <v>12</v>
      </c>
      <c r="M13" s="329">
        <v>13</v>
      </c>
      <c r="N13" s="329">
        <v>14</v>
      </c>
      <c r="O13" s="329">
        <v>15</v>
      </c>
      <c r="P13" s="329">
        <v>16</v>
      </c>
      <c r="Q13" s="329">
        <v>17</v>
      </c>
      <c r="R13" s="326"/>
      <c r="S13" s="326"/>
    </row>
    <row r="14" spans="1:19" ht="12.75">
      <c r="A14" s="330">
        <v>1</v>
      </c>
      <c r="B14" s="331" t="s">
        <v>338</v>
      </c>
      <c r="C14" s="332" t="s">
        <v>339</v>
      </c>
      <c r="D14" s="332"/>
      <c r="E14" s="333">
        <f>E19+E27+E59+E35+E43+E51</f>
        <v>7613001</v>
      </c>
      <c r="F14" s="333">
        <f>F19+F27+F59+F35+F43+F51</f>
        <v>1875000</v>
      </c>
      <c r="G14" s="334">
        <f>G19+G27+G59+G35+G43+G51</f>
        <v>5738001</v>
      </c>
      <c r="H14" s="334">
        <f>H20+H28+H36+H44+H52+H60</f>
        <v>1150000</v>
      </c>
      <c r="I14" s="334">
        <f>I20+I28+I36+I44+I52+I60</f>
        <v>525000</v>
      </c>
      <c r="J14" s="334">
        <f>J20+J28+J36+J44+J52+J60</f>
        <v>0</v>
      </c>
      <c r="K14" s="334">
        <f>K20+K28+K36+K44+K52+K60</f>
        <v>0</v>
      </c>
      <c r="L14" s="334">
        <f>L20+L28+L36+L44+L52+L60</f>
        <v>525000</v>
      </c>
      <c r="M14" s="334">
        <f>M20+M28+M36+M44+M52+M60</f>
        <v>625000</v>
      </c>
      <c r="N14" s="334">
        <f>N20+N28+N36+N44+N52+N60</f>
        <v>0</v>
      </c>
      <c r="O14" s="334">
        <f>O20+O28+O36+O44+O52+O60</f>
        <v>0</v>
      </c>
      <c r="P14" s="334">
        <f>P20+P28+P36+P44+P52+P60</f>
        <v>0</v>
      </c>
      <c r="Q14" s="334">
        <f>Q20+Q28+Q36+Q44+Q52+Q60</f>
        <v>625000</v>
      </c>
      <c r="R14" s="326"/>
      <c r="S14" s="326"/>
    </row>
    <row r="15" spans="1:19" ht="12.75">
      <c r="A15" s="327" t="s">
        <v>340</v>
      </c>
      <c r="B15" s="331" t="s">
        <v>341</v>
      </c>
      <c r="C15" s="335" t="s">
        <v>342</v>
      </c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  <c r="R15" s="326"/>
      <c r="S15" s="326"/>
    </row>
    <row r="16" spans="1:19" ht="12.75">
      <c r="A16" s="327"/>
      <c r="B16" s="331" t="s">
        <v>343</v>
      </c>
      <c r="C16" s="338" t="s">
        <v>344</v>
      </c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7"/>
      <c r="R16" s="326"/>
      <c r="S16" s="326"/>
    </row>
    <row r="17" spans="1:19" ht="12.75">
      <c r="A17" s="327"/>
      <c r="B17" s="331" t="s">
        <v>345</v>
      </c>
      <c r="C17" s="339" t="s">
        <v>346</v>
      </c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7"/>
      <c r="R17" s="326"/>
      <c r="S17" s="326"/>
    </row>
    <row r="18" spans="1:19" ht="12.75">
      <c r="A18" s="327"/>
      <c r="B18" s="331" t="s">
        <v>347</v>
      </c>
      <c r="C18" s="340" t="s">
        <v>348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2"/>
      <c r="R18" s="326"/>
      <c r="S18" s="326"/>
    </row>
    <row r="19" spans="1:19" ht="12.75">
      <c r="A19" s="327"/>
      <c r="B19" s="331" t="s">
        <v>349</v>
      </c>
      <c r="C19" s="331"/>
      <c r="D19" s="343" t="s">
        <v>350</v>
      </c>
      <c r="E19" s="333">
        <f>SUM(E20:E22)</f>
        <v>2800000</v>
      </c>
      <c r="F19" s="333">
        <f>SUM(F20:F22)</f>
        <v>1400000</v>
      </c>
      <c r="G19" s="333">
        <f>SUM(G20:G22)</f>
        <v>1400000</v>
      </c>
      <c r="H19" s="333">
        <f>SUM(H20:H22)</f>
        <v>2800000</v>
      </c>
      <c r="I19" s="333">
        <f>SUM(I20:I22)</f>
        <v>1400000</v>
      </c>
      <c r="J19" s="333">
        <f>SUM(J20:J22)</f>
        <v>1350000</v>
      </c>
      <c r="K19" s="333">
        <f>SUM(K20:K22)</f>
        <v>0</v>
      </c>
      <c r="L19" s="333">
        <f>SUM(L20:L22)</f>
        <v>50000</v>
      </c>
      <c r="M19" s="333">
        <f>SUM(M20:M22)</f>
        <v>1400000</v>
      </c>
      <c r="N19" s="333">
        <f>SUM(N20:N22)</f>
        <v>0</v>
      </c>
      <c r="O19" s="333">
        <f>SUM(O20:O22)</f>
        <v>0</v>
      </c>
      <c r="P19" s="333">
        <f>SUM(P20:P22)</f>
        <v>0</v>
      </c>
      <c r="Q19" s="333">
        <f>SUM(Q20:Q22)</f>
        <v>1400000</v>
      </c>
      <c r="R19" s="326"/>
      <c r="S19" s="326"/>
    </row>
    <row r="20" spans="1:19" ht="12.75">
      <c r="A20" s="327"/>
      <c r="B20" s="331" t="s">
        <v>351</v>
      </c>
      <c r="C20" s="344"/>
      <c r="D20" s="344"/>
      <c r="E20" s="333">
        <f>F20+G20</f>
        <v>50000</v>
      </c>
      <c r="F20" s="333">
        <f>I20</f>
        <v>50000</v>
      </c>
      <c r="G20" s="333">
        <f>M20</f>
        <v>0</v>
      </c>
      <c r="H20" s="333">
        <f>I20+M20</f>
        <v>50000</v>
      </c>
      <c r="I20" s="333">
        <f>SUM(J20:L20)</f>
        <v>50000</v>
      </c>
      <c r="J20" s="333">
        <v>0</v>
      </c>
      <c r="K20" s="333"/>
      <c r="L20" s="333">
        <v>50000</v>
      </c>
      <c r="M20" s="345">
        <f>N20+O20+P20+Q20</f>
        <v>0</v>
      </c>
      <c r="N20" s="345"/>
      <c r="O20" s="346"/>
      <c r="P20" s="346"/>
      <c r="Q20" s="346"/>
      <c r="R20" s="326"/>
      <c r="S20" s="326"/>
    </row>
    <row r="21" spans="1:19" ht="12.75">
      <c r="A21" s="327"/>
      <c r="B21" s="347">
        <v>2009</v>
      </c>
      <c r="C21" s="348"/>
      <c r="D21" s="348"/>
      <c r="E21" s="333">
        <f>F21+G21</f>
        <v>2750000</v>
      </c>
      <c r="F21" s="333">
        <f>I21</f>
        <v>1350000</v>
      </c>
      <c r="G21" s="333">
        <f>M21</f>
        <v>1400000</v>
      </c>
      <c r="H21" s="333">
        <f>I21+M21</f>
        <v>2750000</v>
      </c>
      <c r="I21" s="333">
        <f>SUM(J21:L21)</f>
        <v>1350000</v>
      </c>
      <c r="J21" s="333">
        <v>1350000</v>
      </c>
      <c r="K21" s="333"/>
      <c r="L21" s="333"/>
      <c r="M21" s="345">
        <f>N21+O21+P21+Q21</f>
        <v>1400000</v>
      </c>
      <c r="N21" s="345"/>
      <c r="O21" s="346"/>
      <c r="P21" s="346"/>
      <c r="Q21" s="345">
        <v>1400000</v>
      </c>
      <c r="R21" s="326"/>
      <c r="S21" s="326"/>
    </row>
    <row r="22" spans="1:19" ht="12.75">
      <c r="A22" s="327"/>
      <c r="B22" s="347">
        <v>2010</v>
      </c>
      <c r="C22" s="349"/>
      <c r="D22" s="349"/>
      <c r="E22" s="333">
        <f>F22+G22</f>
        <v>0</v>
      </c>
      <c r="F22" s="333">
        <f>I22</f>
        <v>0</v>
      </c>
      <c r="G22" s="333">
        <f>M22</f>
        <v>0</v>
      </c>
      <c r="H22" s="333">
        <f>I22+M22</f>
        <v>0</v>
      </c>
      <c r="I22" s="333">
        <f>SUM(J22:L22)</f>
        <v>0</v>
      </c>
      <c r="J22" s="333"/>
      <c r="K22" s="333"/>
      <c r="L22" s="333"/>
      <c r="M22" s="345">
        <f>N22+O22+P22+Q22</f>
        <v>0</v>
      </c>
      <c r="N22" s="345"/>
      <c r="O22" s="346"/>
      <c r="P22" s="346"/>
      <c r="Q22" s="346"/>
      <c r="R22" s="326"/>
      <c r="S22" s="326"/>
    </row>
    <row r="23" spans="1:19" ht="12.75">
      <c r="A23" s="327" t="s">
        <v>352</v>
      </c>
      <c r="B23" s="331" t="s">
        <v>341</v>
      </c>
      <c r="C23" s="335" t="s">
        <v>353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1"/>
      <c r="R23" s="326"/>
      <c r="S23" s="326"/>
    </row>
    <row r="24" spans="1:19" ht="12.75">
      <c r="A24" s="327"/>
      <c r="B24" s="331" t="s">
        <v>343</v>
      </c>
      <c r="C24" s="338" t="s">
        <v>354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7"/>
      <c r="R24" s="326"/>
      <c r="S24" s="326"/>
    </row>
    <row r="25" spans="1:19" ht="12.75">
      <c r="A25" s="327"/>
      <c r="B25" s="331" t="s">
        <v>345</v>
      </c>
      <c r="C25" s="338" t="s">
        <v>355</v>
      </c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7"/>
      <c r="R25" s="326"/>
      <c r="S25" s="326"/>
    </row>
    <row r="26" spans="1:19" ht="12.75">
      <c r="A26" s="327"/>
      <c r="B26" s="331" t="s">
        <v>347</v>
      </c>
      <c r="C26" s="340" t="s">
        <v>307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2"/>
      <c r="R26" s="326"/>
      <c r="S26" s="326"/>
    </row>
    <row r="27" spans="1:19" ht="12.75">
      <c r="A27" s="327"/>
      <c r="B27" s="331" t="s">
        <v>349</v>
      </c>
      <c r="C27" s="331"/>
      <c r="D27" s="343"/>
      <c r="E27" s="333">
        <f>SUM(E28:E30)</f>
        <v>300000</v>
      </c>
      <c r="F27" s="333">
        <f>SUM(F28:F30)</f>
        <v>150000</v>
      </c>
      <c r="G27" s="333">
        <f>SUM(G28:G30)</f>
        <v>150000</v>
      </c>
      <c r="H27" s="333">
        <f>SUM(H28:H30)</f>
        <v>300000</v>
      </c>
      <c r="I27" s="333">
        <f>SUM(I28:I30)</f>
        <v>150000</v>
      </c>
      <c r="J27" s="333">
        <f>SUM(J28:J30)</f>
        <v>0</v>
      </c>
      <c r="K27" s="333">
        <f>SUM(K28:K30)</f>
        <v>0</v>
      </c>
      <c r="L27" s="333">
        <f>SUM(L28:L30)</f>
        <v>150000</v>
      </c>
      <c r="M27" s="333">
        <f>SUM(M28:M30)</f>
        <v>150000</v>
      </c>
      <c r="N27" s="333">
        <f>SUM(N28:N30)</f>
        <v>0</v>
      </c>
      <c r="O27" s="333">
        <f>SUM(O28:O30)</f>
        <v>0</v>
      </c>
      <c r="P27" s="333">
        <f>SUM(P28:P30)</f>
        <v>0</v>
      </c>
      <c r="Q27" s="333">
        <f>SUM(Q28:Q30)</f>
        <v>150000</v>
      </c>
      <c r="R27" s="326"/>
      <c r="S27" s="326"/>
    </row>
    <row r="28" spans="1:19" ht="12.75">
      <c r="A28" s="327"/>
      <c r="B28" s="331" t="s">
        <v>351</v>
      </c>
      <c r="C28" s="344"/>
      <c r="D28" s="344"/>
      <c r="E28" s="333">
        <f>F28+G28</f>
        <v>300000</v>
      </c>
      <c r="F28" s="333">
        <f>I28</f>
        <v>150000</v>
      </c>
      <c r="G28" s="333">
        <f>M28</f>
        <v>150000</v>
      </c>
      <c r="H28" s="333">
        <f>I28+M28</f>
        <v>300000</v>
      </c>
      <c r="I28" s="333">
        <f>SUM(J28:L28)</f>
        <v>150000</v>
      </c>
      <c r="J28" s="333"/>
      <c r="K28" s="333"/>
      <c r="L28" s="333">
        <v>150000</v>
      </c>
      <c r="M28" s="333">
        <f>SUM(N28:Q28)</f>
        <v>150000</v>
      </c>
      <c r="N28" s="345"/>
      <c r="O28" s="346"/>
      <c r="P28" s="346"/>
      <c r="Q28" s="345">
        <v>150000</v>
      </c>
      <c r="R28" s="326"/>
      <c r="S28" s="326"/>
    </row>
    <row r="29" spans="1:19" ht="12.75">
      <c r="A29" s="327"/>
      <c r="B29" s="347">
        <v>2009</v>
      </c>
      <c r="C29" s="348"/>
      <c r="D29" s="348"/>
      <c r="E29" s="333">
        <f>F29+G29</f>
        <v>0</v>
      </c>
      <c r="F29" s="333">
        <f>I29</f>
        <v>0</v>
      </c>
      <c r="G29" s="333">
        <f>M29</f>
        <v>0</v>
      </c>
      <c r="H29" s="333">
        <f>I29+M29</f>
        <v>0</v>
      </c>
      <c r="I29" s="333">
        <f>SUM(J29:L29)</f>
        <v>0</v>
      </c>
      <c r="J29" s="333"/>
      <c r="K29" s="333"/>
      <c r="L29" s="333"/>
      <c r="M29" s="333">
        <f>SUM(N29:Q29)</f>
        <v>0</v>
      </c>
      <c r="N29" s="345"/>
      <c r="O29" s="346"/>
      <c r="P29" s="346"/>
      <c r="Q29" s="346"/>
      <c r="R29" s="326"/>
      <c r="S29" s="326"/>
    </row>
    <row r="30" spans="1:19" ht="12.75">
      <c r="A30" s="327"/>
      <c r="B30" s="347">
        <v>2010</v>
      </c>
      <c r="C30" s="349"/>
      <c r="D30" s="349"/>
      <c r="E30" s="333">
        <f>F30+G30</f>
        <v>0</v>
      </c>
      <c r="F30" s="333">
        <f>I30</f>
        <v>0</v>
      </c>
      <c r="G30" s="333">
        <f>M30</f>
        <v>0</v>
      </c>
      <c r="H30" s="333">
        <f>I30+M30</f>
        <v>0</v>
      </c>
      <c r="I30" s="333">
        <f>SUM(J30:L30)</f>
        <v>0</v>
      </c>
      <c r="J30" s="333"/>
      <c r="K30" s="333"/>
      <c r="L30" s="333"/>
      <c r="M30" s="333">
        <f>SUM(N30:Q30)</f>
        <v>0</v>
      </c>
      <c r="N30" s="345"/>
      <c r="O30" s="346"/>
      <c r="P30" s="346"/>
      <c r="Q30" s="346"/>
      <c r="R30" s="326"/>
      <c r="S30" s="326"/>
    </row>
    <row r="31" spans="1:19" ht="12.75">
      <c r="A31" s="327" t="s">
        <v>356</v>
      </c>
      <c r="B31" s="331" t="s">
        <v>341</v>
      </c>
      <c r="C31" s="335" t="s">
        <v>353</v>
      </c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1"/>
      <c r="R31" s="326"/>
      <c r="S31" s="326"/>
    </row>
    <row r="32" spans="1:19" ht="12.75">
      <c r="A32" s="327"/>
      <c r="B32" s="331" t="s">
        <v>343</v>
      </c>
      <c r="C32" s="338" t="s">
        <v>354</v>
      </c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7"/>
      <c r="R32" s="326"/>
      <c r="S32" s="326"/>
    </row>
    <row r="33" spans="1:19" ht="12.75">
      <c r="A33" s="327"/>
      <c r="B33" s="331" t="s">
        <v>345</v>
      </c>
      <c r="C33" s="338" t="s">
        <v>355</v>
      </c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7"/>
      <c r="R33" s="326"/>
      <c r="S33" s="326"/>
    </row>
    <row r="34" spans="1:19" ht="12.75">
      <c r="A34" s="327"/>
      <c r="B34" s="331" t="s">
        <v>347</v>
      </c>
      <c r="C34" s="340" t="s">
        <v>308</v>
      </c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2"/>
      <c r="R34" s="326"/>
      <c r="S34" s="326"/>
    </row>
    <row r="35" spans="1:19" ht="12.75">
      <c r="A35" s="327"/>
      <c r="B35" s="331" t="s">
        <v>349</v>
      </c>
      <c r="C35" s="331"/>
      <c r="D35" s="343"/>
      <c r="E35" s="333">
        <f>SUM(E36:E38)</f>
        <v>200000</v>
      </c>
      <c r="F35" s="333">
        <f>SUM(F36:F38)</f>
        <v>60000</v>
      </c>
      <c r="G35" s="333">
        <f>SUM(G36:G38)</f>
        <v>140000</v>
      </c>
      <c r="H35" s="333">
        <f>SUM(H36:H38)</f>
        <v>200000</v>
      </c>
      <c r="I35" s="333">
        <f>SUM(I36:I38)</f>
        <v>60000</v>
      </c>
      <c r="J35" s="333">
        <f>SUM(J36:J38)</f>
        <v>0</v>
      </c>
      <c r="K35" s="333">
        <f>SUM(K36:K38)</f>
        <v>0</v>
      </c>
      <c r="L35" s="333">
        <f>SUM(L36:L38)</f>
        <v>60000</v>
      </c>
      <c r="M35" s="333">
        <f>SUM(M36:M38)</f>
        <v>140000</v>
      </c>
      <c r="N35" s="333">
        <f>SUM(N36:N38)</f>
        <v>0</v>
      </c>
      <c r="O35" s="333">
        <f>SUM(O36:O38)</f>
        <v>0</v>
      </c>
      <c r="P35" s="333">
        <f>SUM(P36:P38)</f>
        <v>0</v>
      </c>
      <c r="Q35" s="333">
        <f>SUM(Q36:Q38)</f>
        <v>140000</v>
      </c>
      <c r="R35" s="326"/>
      <c r="S35" s="326"/>
    </row>
    <row r="36" spans="1:19" ht="12.75">
      <c r="A36" s="327"/>
      <c r="B36" s="331" t="s">
        <v>351</v>
      </c>
      <c r="C36" s="344"/>
      <c r="D36" s="344"/>
      <c r="E36" s="333">
        <f>F36+G36</f>
        <v>200000</v>
      </c>
      <c r="F36" s="333">
        <f>I36</f>
        <v>60000</v>
      </c>
      <c r="G36" s="333">
        <f>M36</f>
        <v>140000</v>
      </c>
      <c r="H36" s="333">
        <f>I36+M36</f>
        <v>200000</v>
      </c>
      <c r="I36" s="333">
        <f>SUM(J36:L36)</f>
        <v>60000</v>
      </c>
      <c r="J36" s="333"/>
      <c r="K36" s="333"/>
      <c r="L36" s="333">
        <v>60000</v>
      </c>
      <c r="M36" s="333">
        <f>SUM(N36:Q36)</f>
        <v>140000</v>
      </c>
      <c r="N36" s="345"/>
      <c r="O36" s="346"/>
      <c r="P36" s="346"/>
      <c r="Q36" s="345">
        <v>140000</v>
      </c>
      <c r="R36" s="326"/>
      <c r="S36" s="326"/>
    </row>
    <row r="37" spans="1:19" ht="12.75">
      <c r="A37" s="327"/>
      <c r="B37" s="347">
        <v>2009</v>
      </c>
      <c r="C37" s="348"/>
      <c r="D37" s="348"/>
      <c r="E37" s="333">
        <f>F37+G37</f>
        <v>0</v>
      </c>
      <c r="F37" s="333">
        <f>I37</f>
        <v>0</v>
      </c>
      <c r="G37" s="333">
        <f>M37</f>
        <v>0</v>
      </c>
      <c r="H37" s="333">
        <f>I37+M37</f>
        <v>0</v>
      </c>
      <c r="I37" s="333">
        <f>SUM(J37:L37)</f>
        <v>0</v>
      </c>
      <c r="J37" s="333"/>
      <c r="K37" s="333"/>
      <c r="L37" s="333"/>
      <c r="M37" s="333">
        <f>SUM(N37:Q37)</f>
        <v>0</v>
      </c>
      <c r="N37" s="345"/>
      <c r="O37" s="346"/>
      <c r="P37" s="346"/>
      <c r="Q37" s="346"/>
      <c r="R37" s="326"/>
      <c r="S37" s="326"/>
    </row>
    <row r="38" spans="1:19" ht="12.75">
      <c r="A38" s="327"/>
      <c r="B38" s="347">
        <v>2010</v>
      </c>
      <c r="C38" s="352"/>
      <c r="D38" s="352"/>
      <c r="E38" s="333">
        <f>F38+G38</f>
        <v>0</v>
      </c>
      <c r="F38" s="333">
        <f>I38</f>
        <v>0</v>
      </c>
      <c r="G38" s="333">
        <f>M38</f>
        <v>0</v>
      </c>
      <c r="H38" s="333">
        <f>I38+M38</f>
        <v>0</v>
      </c>
      <c r="I38" s="333">
        <f>SUM(J38:L38)</f>
        <v>0</v>
      </c>
      <c r="J38" s="333"/>
      <c r="K38" s="333"/>
      <c r="L38" s="333"/>
      <c r="M38" s="333">
        <f>SUM(N38:Q38)</f>
        <v>0</v>
      </c>
      <c r="N38" s="345"/>
      <c r="O38" s="346"/>
      <c r="P38" s="346"/>
      <c r="Q38" s="346"/>
      <c r="R38" s="326"/>
      <c r="S38" s="326"/>
    </row>
    <row r="39" spans="1:19" ht="12.75">
      <c r="A39" s="327" t="s">
        <v>357</v>
      </c>
      <c r="B39" s="331" t="s">
        <v>341</v>
      </c>
      <c r="C39" s="335" t="s">
        <v>353</v>
      </c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1"/>
      <c r="R39" s="326"/>
      <c r="S39" s="326"/>
    </row>
    <row r="40" spans="1:19" ht="12.75">
      <c r="A40" s="327"/>
      <c r="B40" s="331" t="s">
        <v>343</v>
      </c>
      <c r="C40" s="338" t="s">
        <v>354</v>
      </c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7"/>
      <c r="R40" s="326"/>
      <c r="S40" s="326"/>
    </row>
    <row r="41" spans="1:19" ht="12.75">
      <c r="A41" s="327"/>
      <c r="B41" s="331" t="s">
        <v>345</v>
      </c>
      <c r="C41" s="338" t="s">
        <v>355</v>
      </c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7"/>
      <c r="R41" s="326"/>
      <c r="S41" s="326"/>
    </row>
    <row r="42" spans="1:19" ht="12.75">
      <c r="A42" s="327"/>
      <c r="B42" s="331" t="s">
        <v>347</v>
      </c>
      <c r="C42" s="340" t="s">
        <v>358</v>
      </c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2"/>
      <c r="R42" s="326"/>
      <c r="S42" s="326"/>
    </row>
    <row r="43" spans="1:19" ht="12.75">
      <c r="A43" s="327"/>
      <c r="B43" s="331" t="s">
        <v>349</v>
      </c>
      <c r="C43" s="331"/>
      <c r="D43" s="343"/>
      <c r="E43" s="333">
        <f>SUM(E44:E46)</f>
        <v>250000</v>
      </c>
      <c r="F43" s="333">
        <f>SUM(F44:F46)</f>
        <v>125000</v>
      </c>
      <c r="G43" s="333">
        <f>SUM(G44:G46)</f>
        <v>125000</v>
      </c>
      <c r="H43" s="333">
        <f>SUM(H44:H46)</f>
        <v>250000</v>
      </c>
      <c r="I43" s="333">
        <f>SUM(I44:I46)</f>
        <v>125000</v>
      </c>
      <c r="J43" s="333">
        <f>SUM(J44:J46)</f>
        <v>0</v>
      </c>
      <c r="K43" s="333">
        <f>SUM(K44:K46)</f>
        <v>0</v>
      </c>
      <c r="L43" s="333">
        <f>SUM(L44:L46)</f>
        <v>125000</v>
      </c>
      <c r="M43" s="333">
        <f>SUM(M44:M46)</f>
        <v>125000</v>
      </c>
      <c r="N43" s="333">
        <f>SUM(N44:N46)</f>
        <v>0</v>
      </c>
      <c r="O43" s="333">
        <f>SUM(O44:O46)</f>
        <v>0</v>
      </c>
      <c r="P43" s="333">
        <f>SUM(P44:P46)</f>
        <v>0</v>
      </c>
      <c r="Q43" s="333">
        <f>SUM(Q44:Q46)</f>
        <v>125000</v>
      </c>
      <c r="R43" s="326"/>
      <c r="S43" s="326"/>
    </row>
    <row r="44" spans="1:19" ht="12.75">
      <c r="A44" s="327"/>
      <c r="B44" s="331" t="s">
        <v>351</v>
      </c>
      <c r="C44" s="344"/>
      <c r="D44" s="344"/>
      <c r="E44" s="333">
        <f>F44+G44</f>
        <v>250000</v>
      </c>
      <c r="F44" s="333">
        <f>I44</f>
        <v>125000</v>
      </c>
      <c r="G44" s="333">
        <f>M44</f>
        <v>125000</v>
      </c>
      <c r="H44" s="333">
        <f>I44+M44</f>
        <v>250000</v>
      </c>
      <c r="I44" s="333">
        <f>SUM(J44:L44)</f>
        <v>125000</v>
      </c>
      <c r="J44" s="333"/>
      <c r="K44" s="333"/>
      <c r="L44" s="333">
        <v>125000</v>
      </c>
      <c r="M44" s="333">
        <f>SUM(N44:Q44)</f>
        <v>125000</v>
      </c>
      <c r="N44" s="345"/>
      <c r="O44" s="346"/>
      <c r="P44" s="346"/>
      <c r="Q44" s="345">
        <v>125000</v>
      </c>
      <c r="R44" s="326"/>
      <c r="S44" s="326"/>
    </row>
    <row r="45" spans="1:19" ht="12.75">
      <c r="A45" s="327"/>
      <c r="B45" s="347">
        <v>2009</v>
      </c>
      <c r="C45" s="348"/>
      <c r="D45" s="348"/>
      <c r="E45" s="333">
        <f>F45+G45</f>
        <v>0</v>
      </c>
      <c r="F45" s="333">
        <f>I45</f>
        <v>0</v>
      </c>
      <c r="G45" s="333">
        <f>M45</f>
        <v>0</v>
      </c>
      <c r="H45" s="333">
        <f>I45+M45</f>
        <v>0</v>
      </c>
      <c r="I45" s="333">
        <f>SUM(J45:L45)</f>
        <v>0</v>
      </c>
      <c r="J45" s="333"/>
      <c r="K45" s="333"/>
      <c r="L45" s="333"/>
      <c r="M45" s="333">
        <f>SUM(N45:Q45)</f>
        <v>0</v>
      </c>
      <c r="N45" s="345"/>
      <c r="O45" s="346"/>
      <c r="P45" s="346"/>
      <c r="Q45" s="346"/>
      <c r="R45" s="326"/>
      <c r="S45" s="326"/>
    </row>
    <row r="46" spans="1:19" ht="12.75">
      <c r="A46" s="327"/>
      <c r="B46" s="347">
        <v>2010</v>
      </c>
      <c r="C46" s="349"/>
      <c r="D46" s="349"/>
      <c r="E46" s="333">
        <f>F46+G46</f>
        <v>0</v>
      </c>
      <c r="F46" s="333">
        <f>I46</f>
        <v>0</v>
      </c>
      <c r="G46" s="333">
        <f>M46</f>
        <v>0</v>
      </c>
      <c r="H46" s="333">
        <f>I46+M46</f>
        <v>0</v>
      </c>
      <c r="I46" s="333">
        <f>SUM(J46:L46)</f>
        <v>0</v>
      </c>
      <c r="J46" s="333"/>
      <c r="K46" s="333"/>
      <c r="L46" s="333"/>
      <c r="M46" s="333">
        <f>SUM(N46:Q46)</f>
        <v>0</v>
      </c>
      <c r="N46" s="345"/>
      <c r="O46" s="346"/>
      <c r="P46" s="346"/>
      <c r="Q46" s="346"/>
      <c r="R46" s="326"/>
      <c r="S46" s="326"/>
    </row>
    <row r="47" spans="1:19" ht="12.75">
      <c r="A47" s="327" t="s">
        <v>359</v>
      </c>
      <c r="B47" s="331" t="s">
        <v>341</v>
      </c>
      <c r="C47" s="335" t="s">
        <v>353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1"/>
      <c r="R47" s="326"/>
      <c r="S47" s="326"/>
    </row>
    <row r="48" spans="1:19" ht="12.75">
      <c r="A48" s="327"/>
      <c r="B48" s="331" t="s">
        <v>343</v>
      </c>
      <c r="C48" s="338" t="s">
        <v>354</v>
      </c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7"/>
      <c r="R48" s="326"/>
      <c r="S48" s="326"/>
    </row>
    <row r="49" spans="1:19" ht="12.75">
      <c r="A49" s="327"/>
      <c r="B49" s="331" t="s">
        <v>345</v>
      </c>
      <c r="C49" s="338" t="s">
        <v>355</v>
      </c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7"/>
      <c r="R49" s="326"/>
      <c r="S49" s="326"/>
    </row>
    <row r="50" spans="1:19" ht="12.75">
      <c r="A50" s="327"/>
      <c r="B50" s="331" t="s">
        <v>347</v>
      </c>
      <c r="C50" s="340" t="s">
        <v>310</v>
      </c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2"/>
      <c r="R50" s="326"/>
      <c r="S50" s="326"/>
    </row>
    <row r="51" spans="1:19" ht="12.75">
      <c r="A51" s="327"/>
      <c r="B51" s="331" t="s">
        <v>349</v>
      </c>
      <c r="C51" s="331"/>
      <c r="D51" s="343"/>
      <c r="E51" s="333">
        <f>SUM(E52:E54)</f>
        <v>300000</v>
      </c>
      <c r="F51" s="333">
        <f>SUM(F52:F54)</f>
        <v>90000</v>
      </c>
      <c r="G51" s="333">
        <f>SUM(G52:G54)</f>
        <v>210000</v>
      </c>
      <c r="H51" s="333">
        <f>SUM(H52:H54)</f>
        <v>300000</v>
      </c>
      <c r="I51" s="333">
        <f>SUM(I52:I54)</f>
        <v>90000</v>
      </c>
      <c r="J51" s="333">
        <f>SUM(J52:J54)</f>
        <v>0</v>
      </c>
      <c r="K51" s="333">
        <f>SUM(K52:K54)</f>
        <v>0</v>
      </c>
      <c r="L51" s="333">
        <f>SUM(L52:L54)</f>
        <v>90000</v>
      </c>
      <c r="M51" s="333">
        <f>SUM(M52:M54)</f>
        <v>210000</v>
      </c>
      <c r="N51" s="333">
        <f>SUM(N52:N54)</f>
        <v>0</v>
      </c>
      <c r="O51" s="333">
        <f>SUM(O52:O54)</f>
        <v>0</v>
      </c>
      <c r="P51" s="333">
        <f>SUM(P52:P54)</f>
        <v>0</v>
      </c>
      <c r="Q51" s="333">
        <f>SUM(Q52:Q54)</f>
        <v>210000</v>
      </c>
      <c r="R51" s="326"/>
      <c r="S51" s="326"/>
    </row>
    <row r="52" spans="1:19" ht="12.75">
      <c r="A52" s="327"/>
      <c r="B52" s="331" t="s">
        <v>351</v>
      </c>
      <c r="C52" s="344"/>
      <c r="D52" s="344"/>
      <c r="E52" s="333">
        <f>F52+G52</f>
        <v>300000</v>
      </c>
      <c r="F52" s="333">
        <f>I52</f>
        <v>90000</v>
      </c>
      <c r="G52" s="333">
        <f>M52</f>
        <v>210000</v>
      </c>
      <c r="H52" s="333">
        <f>I52+M52</f>
        <v>300000</v>
      </c>
      <c r="I52" s="333">
        <f>SUM(J52:L52)</f>
        <v>90000</v>
      </c>
      <c r="J52" s="333"/>
      <c r="K52" s="333"/>
      <c r="L52" s="333">
        <v>90000</v>
      </c>
      <c r="M52" s="333">
        <f>SUM(N52:Q52)</f>
        <v>210000</v>
      </c>
      <c r="N52" s="345"/>
      <c r="O52" s="346"/>
      <c r="P52" s="346"/>
      <c r="Q52" s="345">
        <v>210000</v>
      </c>
      <c r="R52" s="326"/>
      <c r="S52" s="326"/>
    </row>
    <row r="53" spans="1:19" ht="12.75">
      <c r="A53" s="327"/>
      <c r="B53" s="347">
        <v>2009</v>
      </c>
      <c r="C53" s="348"/>
      <c r="D53" s="348"/>
      <c r="E53" s="333">
        <f>F53+G53</f>
        <v>0</v>
      </c>
      <c r="F53" s="333">
        <f>I53</f>
        <v>0</v>
      </c>
      <c r="G53" s="333">
        <f>M53</f>
        <v>0</v>
      </c>
      <c r="H53" s="333">
        <f>I53+M53</f>
        <v>0</v>
      </c>
      <c r="I53" s="333">
        <f>SUM(J53:L53)</f>
        <v>0</v>
      </c>
      <c r="J53" s="333"/>
      <c r="K53" s="333"/>
      <c r="L53" s="333"/>
      <c r="M53" s="333">
        <f>SUM(N53:Q53)</f>
        <v>0</v>
      </c>
      <c r="N53" s="345"/>
      <c r="O53" s="346"/>
      <c r="P53" s="346"/>
      <c r="Q53" s="346"/>
      <c r="R53" s="326"/>
      <c r="S53" s="326"/>
    </row>
    <row r="54" spans="1:19" ht="12.75">
      <c r="A54" s="327"/>
      <c r="B54" s="347">
        <v>2010</v>
      </c>
      <c r="C54" s="349"/>
      <c r="D54" s="349"/>
      <c r="E54" s="333">
        <f>F54+G54</f>
        <v>0</v>
      </c>
      <c r="F54" s="333">
        <f>I54</f>
        <v>0</v>
      </c>
      <c r="G54" s="333">
        <f>M54</f>
        <v>0</v>
      </c>
      <c r="H54" s="333">
        <f>I54+M54</f>
        <v>0</v>
      </c>
      <c r="I54" s="333">
        <f>SUM(J54:L54)</f>
        <v>0</v>
      </c>
      <c r="J54" s="333"/>
      <c r="K54" s="333"/>
      <c r="L54" s="333"/>
      <c r="M54" s="333">
        <f>SUM(N54:Q54)</f>
        <v>0</v>
      </c>
      <c r="N54" s="345"/>
      <c r="O54" s="346"/>
      <c r="P54" s="346"/>
      <c r="Q54" s="346"/>
      <c r="R54" s="326"/>
      <c r="S54" s="326"/>
    </row>
    <row r="55" spans="1:19" ht="12.75">
      <c r="A55" s="327" t="s">
        <v>360</v>
      </c>
      <c r="B55" s="331" t="s">
        <v>341</v>
      </c>
      <c r="C55" s="353" t="s">
        <v>361</v>
      </c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1"/>
      <c r="R55" s="326"/>
      <c r="S55" s="326"/>
    </row>
    <row r="56" spans="1:19" ht="12.75">
      <c r="A56" s="327"/>
      <c r="B56" s="331" t="s">
        <v>343</v>
      </c>
      <c r="C56" s="338">
        <v>3</v>
      </c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7"/>
      <c r="R56" s="326"/>
      <c r="S56" s="326"/>
    </row>
    <row r="57" spans="1:19" ht="12.75">
      <c r="A57" s="327"/>
      <c r="B57" s="331" t="s">
        <v>345</v>
      </c>
      <c r="C57" s="339" t="s">
        <v>362</v>
      </c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7"/>
      <c r="R57" s="326"/>
      <c r="S57" s="326"/>
    </row>
    <row r="58" spans="1:19" ht="12.75">
      <c r="A58" s="327"/>
      <c r="B58" s="331" t="s">
        <v>347</v>
      </c>
      <c r="C58" s="340" t="s">
        <v>363</v>
      </c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2"/>
      <c r="R58" s="326"/>
      <c r="S58" s="326"/>
    </row>
    <row r="59" spans="1:19" ht="12.75">
      <c r="A59" s="327"/>
      <c r="B59" s="331" t="s">
        <v>349</v>
      </c>
      <c r="C59" s="331"/>
      <c r="D59" s="343" t="s">
        <v>364</v>
      </c>
      <c r="E59" s="333">
        <f>SUM(E60:E62)</f>
        <v>3763001</v>
      </c>
      <c r="F59" s="333">
        <f>SUM(F60:F62)</f>
        <v>50000</v>
      </c>
      <c r="G59" s="333">
        <f>SUM(G60:G62)</f>
        <v>3713001</v>
      </c>
      <c r="H59" s="333">
        <f>SUM(H60:H62)</f>
        <v>3763001</v>
      </c>
      <c r="I59" s="333">
        <f>SUM(I60:I62)</f>
        <v>50000</v>
      </c>
      <c r="J59" s="333">
        <f>SUM(J60:J62)</f>
        <v>0</v>
      </c>
      <c r="K59" s="333">
        <f>SUM(K60:K62)</f>
        <v>0</v>
      </c>
      <c r="L59" s="333">
        <f>SUM(L60:L62)</f>
        <v>50000</v>
      </c>
      <c r="M59" s="333">
        <f>SUM(M60:M62)</f>
        <v>3713001</v>
      </c>
      <c r="N59" s="333">
        <f>SUM(N60:N62)</f>
        <v>0</v>
      </c>
      <c r="O59" s="333">
        <f>SUM(O60:O62)</f>
        <v>0</v>
      </c>
      <c r="P59" s="333">
        <f>SUM(P60:P62)</f>
        <v>0</v>
      </c>
      <c r="Q59" s="345">
        <f>SUM(Q60:Q62)</f>
        <v>3713001</v>
      </c>
      <c r="R59" s="326"/>
      <c r="S59" s="326"/>
    </row>
    <row r="60" spans="1:19" ht="12.75">
      <c r="A60" s="327"/>
      <c r="B60" s="331" t="s">
        <v>351</v>
      </c>
      <c r="C60" s="344"/>
      <c r="D60" s="344"/>
      <c r="E60" s="333">
        <f>F60+G60</f>
        <v>50000</v>
      </c>
      <c r="F60" s="333">
        <f>I60</f>
        <v>50000</v>
      </c>
      <c r="G60" s="333">
        <f>M60</f>
        <v>0</v>
      </c>
      <c r="H60" s="333">
        <f>I60+M60</f>
        <v>50000</v>
      </c>
      <c r="I60" s="333">
        <f>SUM(J60:L60)</f>
        <v>50000</v>
      </c>
      <c r="J60" s="333"/>
      <c r="K60" s="333"/>
      <c r="L60" s="333">
        <v>50000</v>
      </c>
      <c r="M60" s="345">
        <f>SUM(N60:Q60)</f>
        <v>0</v>
      </c>
      <c r="N60" s="345"/>
      <c r="O60" s="346"/>
      <c r="P60" s="346"/>
      <c r="Q60" s="345"/>
      <c r="R60" s="326"/>
      <c r="S60" s="326"/>
    </row>
    <row r="61" spans="1:19" ht="12.75">
      <c r="A61" s="327"/>
      <c r="B61" s="347">
        <v>2009</v>
      </c>
      <c r="C61" s="348"/>
      <c r="D61" s="348"/>
      <c r="E61" s="333">
        <f>F61+G61</f>
        <v>1713001</v>
      </c>
      <c r="F61" s="333">
        <f>I61</f>
        <v>0</v>
      </c>
      <c r="G61" s="333">
        <f>M61</f>
        <v>1713001</v>
      </c>
      <c r="H61" s="333">
        <f>I61+M61</f>
        <v>1713001</v>
      </c>
      <c r="I61" s="333">
        <f>SUM(J61:L61)</f>
        <v>0</v>
      </c>
      <c r="J61" s="333"/>
      <c r="K61" s="333"/>
      <c r="L61" s="333"/>
      <c r="M61" s="345">
        <f>SUM(N61:Q61)</f>
        <v>1713001</v>
      </c>
      <c r="N61" s="345"/>
      <c r="O61" s="346"/>
      <c r="P61" s="346"/>
      <c r="Q61" s="345">
        <v>1713001</v>
      </c>
      <c r="R61" s="326"/>
      <c r="S61" s="326"/>
    </row>
    <row r="62" spans="1:19" ht="12.75">
      <c r="A62" s="327"/>
      <c r="B62" s="347">
        <v>2010</v>
      </c>
      <c r="C62" s="349"/>
      <c r="D62" s="349"/>
      <c r="E62" s="333">
        <f>F62+G62</f>
        <v>2000000</v>
      </c>
      <c r="F62" s="333">
        <f>I62</f>
        <v>0</v>
      </c>
      <c r="G62" s="333">
        <f>M62</f>
        <v>2000000</v>
      </c>
      <c r="H62" s="333">
        <f>I62+M62</f>
        <v>2000000</v>
      </c>
      <c r="I62" s="354"/>
      <c r="J62" s="354"/>
      <c r="K62" s="354"/>
      <c r="L62" s="354"/>
      <c r="M62" s="345">
        <f>SUM(N62:Q62)</f>
        <v>2000000</v>
      </c>
      <c r="N62" s="354"/>
      <c r="O62" s="354"/>
      <c r="P62" s="349"/>
      <c r="Q62" s="355">
        <v>2000000</v>
      </c>
      <c r="R62" s="326"/>
      <c r="S62" s="326"/>
    </row>
    <row r="63" spans="1:19" ht="12.75">
      <c r="A63" s="332" t="s">
        <v>365</v>
      </c>
      <c r="B63" s="332"/>
      <c r="C63" s="332" t="s">
        <v>339</v>
      </c>
      <c r="D63" s="332"/>
      <c r="E63" s="333">
        <f>E14</f>
        <v>7613001</v>
      </c>
      <c r="F63" s="333">
        <f>F14</f>
        <v>1875000</v>
      </c>
      <c r="G63" s="333">
        <f>G14</f>
        <v>5738001</v>
      </c>
      <c r="H63" s="333">
        <f>H14</f>
        <v>1150000</v>
      </c>
      <c r="I63" s="333">
        <f>I14</f>
        <v>525000</v>
      </c>
      <c r="J63" s="333">
        <f>J14</f>
        <v>0</v>
      </c>
      <c r="K63" s="333">
        <f>K14</f>
        <v>0</v>
      </c>
      <c r="L63" s="333">
        <f>L14</f>
        <v>525000</v>
      </c>
      <c r="M63" s="333">
        <f>M14</f>
        <v>625000</v>
      </c>
      <c r="N63" s="333">
        <f>N14</f>
        <v>0</v>
      </c>
      <c r="O63" s="333">
        <f>O14</f>
        <v>0</v>
      </c>
      <c r="P63" s="333">
        <f>P14</f>
        <v>0</v>
      </c>
      <c r="Q63" s="333">
        <f>Q14</f>
        <v>625000</v>
      </c>
      <c r="R63" s="326"/>
      <c r="S63" s="326"/>
    </row>
    <row r="64" spans="1:19" ht="12.75">
      <c r="A64" s="326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ht="12.75">
      <c r="A65" s="356" t="s">
        <v>366</v>
      </c>
      <c r="B65" s="356"/>
      <c r="C65" s="356"/>
      <c r="D65" s="356"/>
      <c r="E65" s="356"/>
      <c r="F65" s="356"/>
      <c r="G65" s="356"/>
      <c r="H65" s="356"/>
      <c r="I65" s="356"/>
      <c r="J65" s="35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ht="12.75">
      <c r="A66" s="326" t="s">
        <v>367</v>
      </c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</sheetData>
  <mergeCells count="29"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C14:D14"/>
    <mergeCell ref="A15:A22"/>
    <mergeCell ref="A23:A30"/>
    <mergeCell ref="A31:A38"/>
    <mergeCell ref="A39:A46"/>
    <mergeCell ref="A47:A54"/>
    <mergeCell ref="A55:A62"/>
    <mergeCell ref="A63:B63"/>
    <mergeCell ref="C63:D63"/>
    <mergeCell ref="A65:J6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scale="74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55" workbookViewId="0" topLeftCell="A1">
      <selection activeCell="E18" sqref="E18"/>
    </sheetView>
  </sheetViews>
  <sheetFormatPr defaultColWidth="9.00390625" defaultRowHeight="12.75"/>
  <cols>
    <col min="1" max="1" width="5.375" style="2" customWidth="1"/>
    <col min="2" max="2" width="43.375" style="2" customWidth="1"/>
    <col min="3" max="3" width="12.00390625" style="2" customWidth="1"/>
    <col min="4" max="5" width="12.875" style="2" customWidth="1"/>
    <col min="6" max="6" width="9.00390625" style="2" customWidth="1"/>
    <col min="7" max="7" width="11.25390625" style="2" customWidth="1"/>
    <col min="8" max="255" width="9.00390625" style="2" customWidth="1"/>
  </cols>
  <sheetData>
    <row r="1" spans="3:4" ht="12.75">
      <c r="C1" s="3" t="s">
        <v>368</v>
      </c>
      <c r="D1" s="3"/>
    </row>
    <row r="2" spans="3:4" ht="12.75">
      <c r="C2" s="3" t="s">
        <v>1</v>
      </c>
      <c r="D2" s="3"/>
    </row>
    <row r="3" spans="3:4" ht="12.75">
      <c r="C3" s="3" t="s">
        <v>369</v>
      </c>
      <c r="D3" s="3"/>
    </row>
    <row r="4" ht="8.25" customHeight="1"/>
    <row r="5" spans="1:5" ht="17.25">
      <c r="A5" s="103" t="s">
        <v>370</v>
      </c>
      <c r="B5" s="103"/>
      <c r="C5" s="103"/>
      <c r="D5" s="103"/>
      <c r="E5" s="103"/>
    </row>
    <row r="6" spans="1:5" ht="17.25">
      <c r="A6" s="103" t="s">
        <v>371</v>
      </c>
      <c r="B6" s="103"/>
      <c r="C6" s="103"/>
      <c r="D6" s="103"/>
      <c r="E6" s="103"/>
    </row>
    <row r="8" spans="1:5" ht="12.75">
      <c r="A8" s="357" t="s">
        <v>372</v>
      </c>
      <c r="B8" s="357" t="s">
        <v>373</v>
      </c>
      <c r="C8" s="358" t="s">
        <v>374</v>
      </c>
      <c r="D8" s="358" t="s">
        <v>375</v>
      </c>
      <c r="E8" s="358" t="s">
        <v>376</v>
      </c>
    </row>
    <row r="9" spans="1:5" ht="36.75">
      <c r="A9" s="357"/>
      <c r="B9" s="357"/>
      <c r="C9" s="358"/>
      <c r="D9" s="358" t="s">
        <v>377</v>
      </c>
      <c r="E9" s="8" t="s">
        <v>7</v>
      </c>
    </row>
    <row r="10" spans="1:5" ht="15" customHeight="1">
      <c r="A10" s="309">
        <v>1</v>
      </c>
      <c r="B10" s="309">
        <v>2</v>
      </c>
      <c r="C10" s="309">
        <v>3</v>
      </c>
      <c r="D10" s="309">
        <v>4</v>
      </c>
      <c r="E10" s="309">
        <v>5</v>
      </c>
    </row>
    <row r="11" spans="1:5" ht="12.75">
      <c r="A11" s="147" t="s">
        <v>378</v>
      </c>
      <c r="B11" s="67" t="s">
        <v>379</v>
      </c>
      <c r="C11" s="359"/>
      <c r="D11" s="360">
        <f>1!E111</f>
        <v>7668721.54</v>
      </c>
      <c r="E11" s="360">
        <f>1!F111</f>
        <v>7791014</v>
      </c>
    </row>
    <row r="12" spans="1:5" ht="12.75">
      <c r="A12" s="147" t="s">
        <v>380</v>
      </c>
      <c r="B12" s="67" t="s">
        <v>325</v>
      </c>
      <c r="C12" s="359"/>
      <c r="D12" s="360">
        <f>2!E288</f>
        <v>7357657.54</v>
      </c>
      <c r="E12" s="360">
        <f>2!F288</f>
        <v>7745014</v>
      </c>
    </row>
    <row r="13" spans="1:7" ht="12.75">
      <c r="A13" s="147"/>
      <c r="B13" s="67" t="s">
        <v>381</v>
      </c>
      <c r="C13" s="359"/>
      <c r="D13" s="361"/>
      <c r="E13" s="361">
        <f>E11-E12</f>
        <v>46000</v>
      </c>
      <c r="G13" s="362"/>
    </row>
    <row r="14" spans="1:5" ht="12.75">
      <c r="A14" s="147"/>
      <c r="B14" s="67" t="s">
        <v>382</v>
      </c>
      <c r="C14" s="359"/>
      <c r="D14" s="360">
        <f>D11-D12</f>
        <v>311064</v>
      </c>
      <c r="E14" s="361"/>
    </row>
    <row r="15" spans="1:7" ht="12.75">
      <c r="A15" s="363" t="s">
        <v>383</v>
      </c>
      <c r="B15" s="364" t="s">
        <v>384</v>
      </c>
      <c r="C15" s="365"/>
      <c r="D15" s="366">
        <f>D16-D26</f>
        <v>-311064</v>
      </c>
      <c r="E15" s="366">
        <f>E16-E26</f>
        <v>-46000</v>
      </c>
      <c r="F15" s="322"/>
      <c r="G15" s="367"/>
    </row>
    <row r="16" spans="1:5" ht="12.75">
      <c r="A16" s="363" t="s">
        <v>385</v>
      </c>
      <c r="B16" s="363"/>
      <c r="C16" s="365"/>
      <c r="D16" s="366">
        <f>SUM(D17:D25)</f>
        <v>295354</v>
      </c>
      <c r="E16" s="366">
        <f>SUM(E17:E25)</f>
        <v>150000</v>
      </c>
    </row>
    <row r="17" spans="1:5" ht="12.75">
      <c r="A17" s="147" t="s">
        <v>378</v>
      </c>
      <c r="B17" s="67" t="s">
        <v>386</v>
      </c>
      <c r="C17" s="368" t="s">
        <v>387</v>
      </c>
      <c r="D17" s="369"/>
      <c r="E17" s="360">
        <v>150000</v>
      </c>
    </row>
    <row r="18" spans="1:5" ht="12.75">
      <c r="A18" s="147" t="s">
        <v>380</v>
      </c>
      <c r="B18" s="67" t="s">
        <v>388</v>
      </c>
      <c r="C18" s="368" t="s">
        <v>387</v>
      </c>
      <c r="D18" s="369"/>
      <c r="E18" s="360"/>
    </row>
    <row r="19" spans="1:10" ht="24.75">
      <c r="A19" s="181" t="s">
        <v>389</v>
      </c>
      <c r="B19" s="67" t="s">
        <v>390</v>
      </c>
      <c r="C19" s="8" t="s">
        <v>391</v>
      </c>
      <c r="D19" s="370"/>
      <c r="E19" s="58"/>
      <c r="G19" s="322"/>
      <c r="I19" s="322"/>
      <c r="J19" s="322"/>
    </row>
    <row r="20" spans="1:9" ht="12.75">
      <c r="A20" s="371" t="s">
        <v>392</v>
      </c>
      <c r="B20" s="67" t="s">
        <v>393</v>
      </c>
      <c r="C20" s="368" t="s">
        <v>394</v>
      </c>
      <c r="D20" s="369"/>
      <c r="E20" s="360"/>
      <c r="G20" s="322"/>
      <c r="I20" s="322"/>
    </row>
    <row r="21" spans="1:5" ht="12.75">
      <c r="A21" s="371" t="s">
        <v>395</v>
      </c>
      <c r="B21" s="67" t="s">
        <v>396</v>
      </c>
      <c r="C21" s="368" t="s">
        <v>397</v>
      </c>
      <c r="D21" s="369"/>
      <c r="E21" s="360"/>
    </row>
    <row r="22" spans="1:5" ht="12.75">
      <c r="A22" s="371" t="s">
        <v>398</v>
      </c>
      <c r="B22" s="67" t="s">
        <v>399</v>
      </c>
      <c r="C22" s="368" t="s">
        <v>400</v>
      </c>
      <c r="D22" s="369"/>
      <c r="E22" s="360"/>
    </row>
    <row r="23" spans="1:5" ht="12.75">
      <c r="A23" s="371" t="s">
        <v>401</v>
      </c>
      <c r="B23" s="67" t="s">
        <v>402</v>
      </c>
      <c r="C23" s="368" t="s">
        <v>403</v>
      </c>
      <c r="D23" s="369"/>
      <c r="E23" s="360"/>
    </row>
    <row r="24" spans="1:5" ht="12.75">
      <c r="A24" s="371" t="s">
        <v>404</v>
      </c>
      <c r="B24" s="67" t="s">
        <v>405</v>
      </c>
      <c r="C24" s="368" t="s">
        <v>406</v>
      </c>
      <c r="D24" s="369"/>
      <c r="E24" s="360"/>
    </row>
    <row r="25" spans="1:5" ht="12.75">
      <c r="A25" s="371" t="s">
        <v>407</v>
      </c>
      <c r="B25" s="67" t="s">
        <v>408</v>
      </c>
      <c r="C25" s="368" t="s">
        <v>409</v>
      </c>
      <c r="D25" s="369">
        <v>295354</v>
      </c>
      <c r="E25" s="360"/>
    </row>
    <row r="26" spans="1:5" ht="12.75">
      <c r="A26" s="147" t="s">
        <v>410</v>
      </c>
      <c r="B26" s="147"/>
      <c r="C26" s="368"/>
      <c r="D26" s="360">
        <f>SUM(D27:D34)</f>
        <v>606418</v>
      </c>
      <c r="E26" s="360">
        <f>SUM(E27:E34)</f>
        <v>196000</v>
      </c>
    </row>
    <row r="27" spans="1:5" ht="12.75">
      <c r="A27" s="147" t="s">
        <v>378</v>
      </c>
      <c r="B27" s="67" t="s">
        <v>411</v>
      </c>
      <c r="C27" s="368" t="s">
        <v>412</v>
      </c>
      <c r="D27" s="369">
        <v>120000</v>
      </c>
      <c r="E27" s="360">
        <v>100000</v>
      </c>
    </row>
    <row r="28" spans="1:5" ht="12.75">
      <c r="A28" s="147" t="s">
        <v>380</v>
      </c>
      <c r="B28" s="67" t="s">
        <v>413</v>
      </c>
      <c r="C28" s="368" t="s">
        <v>412</v>
      </c>
      <c r="D28" s="369"/>
      <c r="E28" s="58"/>
    </row>
    <row r="29" spans="1:5" ht="36.75">
      <c r="A29" s="7" t="s">
        <v>389</v>
      </c>
      <c r="B29" s="67" t="s">
        <v>414</v>
      </c>
      <c r="C29" s="8" t="s">
        <v>412</v>
      </c>
      <c r="D29" s="370">
        <v>486418</v>
      </c>
      <c r="E29" s="58">
        <v>96000</v>
      </c>
    </row>
    <row r="30" spans="1:5" ht="12.75">
      <c r="A30" s="147" t="s">
        <v>392</v>
      </c>
      <c r="B30" s="67" t="s">
        <v>415</v>
      </c>
      <c r="C30" s="8" t="s">
        <v>416</v>
      </c>
      <c r="D30" s="370"/>
      <c r="E30" s="58"/>
    </row>
    <row r="31" spans="1:5" ht="12.75">
      <c r="A31" s="147" t="s">
        <v>395</v>
      </c>
      <c r="B31" s="67" t="s">
        <v>417</v>
      </c>
      <c r="C31" s="368" t="s">
        <v>418</v>
      </c>
      <c r="D31" s="369"/>
      <c r="E31" s="360"/>
    </row>
    <row r="32" spans="1:5" ht="12.75">
      <c r="A32" s="147" t="s">
        <v>398</v>
      </c>
      <c r="B32" s="67" t="s">
        <v>419</v>
      </c>
      <c r="C32" s="368" t="s">
        <v>420</v>
      </c>
      <c r="D32" s="369"/>
      <c r="E32" s="360"/>
    </row>
    <row r="33" spans="1:5" ht="12.75">
      <c r="A33" s="147" t="s">
        <v>401</v>
      </c>
      <c r="B33" s="67" t="s">
        <v>421</v>
      </c>
      <c r="C33" s="368" t="s">
        <v>422</v>
      </c>
      <c r="D33" s="369"/>
      <c r="E33" s="360"/>
    </row>
    <row r="34" spans="1:5" ht="12.75">
      <c r="A34" s="147" t="s">
        <v>404</v>
      </c>
      <c r="B34" s="67" t="s">
        <v>423</v>
      </c>
      <c r="C34" s="368" t="s">
        <v>424</v>
      </c>
      <c r="D34" s="369"/>
      <c r="E34" s="360"/>
    </row>
    <row r="36" spans="3:6" ht="15">
      <c r="C36" s="319"/>
      <c r="D36" s="319"/>
      <c r="E36" s="319"/>
      <c r="F36" s="319"/>
    </row>
    <row r="37" spans="2:6" ht="15">
      <c r="B37" s="372"/>
      <c r="C37" s="288"/>
      <c r="D37" s="288"/>
      <c r="E37" s="102"/>
      <c r="F37" s="102"/>
    </row>
    <row r="38" spans="3:6" ht="12.75">
      <c r="C38" s="288"/>
      <c r="D38" s="288"/>
      <c r="E38" s="102"/>
      <c r="F38" s="102"/>
    </row>
    <row r="39" spans="3:6" ht="13.5">
      <c r="C39" s="323"/>
      <c r="D39" s="323"/>
      <c r="E39" s="323"/>
      <c r="F39" s="323"/>
    </row>
    <row r="43" ht="12.75">
      <c r="E43"/>
    </row>
  </sheetData>
  <mergeCells count="8">
    <mergeCell ref="A5:E5"/>
    <mergeCell ref="A6:E6"/>
    <mergeCell ref="A8:A9"/>
    <mergeCell ref="B8:B9"/>
    <mergeCell ref="C8:C9"/>
    <mergeCell ref="D8:E8"/>
    <mergeCell ref="A16:B16"/>
    <mergeCell ref="A26:B26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55" workbookViewId="0" topLeftCell="A23">
      <selection activeCell="D16" sqref="D16"/>
    </sheetView>
  </sheetViews>
  <sheetFormatPr defaultColWidth="9.00390625" defaultRowHeight="12.75"/>
  <cols>
    <col min="1" max="1" width="7.75390625" style="373" customWidth="1"/>
    <col min="2" max="2" width="8.125" style="373" customWidth="1"/>
    <col min="3" max="3" width="5.75390625" style="373" customWidth="1"/>
    <col min="4" max="6" width="17.75390625" style="373" customWidth="1"/>
    <col min="7" max="7" width="13.75390625" style="373" customWidth="1"/>
    <col min="8" max="8" width="14.75390625" style="373" customWidth="1"/>
    <col min="9" max="9" width="17.75390625" style="373" customWidth="1"/>
    <col min="10" max="10" width="10.375" style="373" customWidth="1"/>
    <col min="11" max="255" width="9.00390625" style="373" customWidth="1"/>
  </cols>
  <sheetData>
    <row r="1" spans="1:10" ht="12.75">
      <c r="A1" s="244"/>
      <c r="B1" s="244"/>
      <c r="C1" s="244"/>
      <c r="D1" s="244"/>
      <c r="E1" s="246"/>
      <c r="F1" s="246"/>
      <c r="G1" s="246"/>
      <c r="H1" s="246"/>
      <c r="I1" s="3" t="s">
        <v>425</v>
      </c>
      <c r="J1" s="246"/>
    </row>
    <row r="2" spans="1:10" ht="12.75">
      <c r="A2" s="244"/>
      <c r="B2" s="244"/>
      <c r="C2" s="244"/>
      <c r="D2" s="244"/>
      <c r="E2" s="246"/>
      <c r="F2" s="246"/>
      <c r="G2" s="246"/>
      <c r="H2" s="246"/>
      <c r="I2" s="3" t="s">
        <v>1</v>
      </c>
      <c r="J2" s="246"/>
    </row>
    <row r="3" spans="1:10" ht="12.75">
      <c r="A3" s="244"/>
      <c r="B3" s="244"/>
      <c r="C3" s="244"/>
      <c r="D3" s="244"/>
      <c r="E3" s="246"/>
      <c r="F3" s="246"/>
      <c r="G3" s="246"/>
      <c r="H3" s="246"/>
      <c r="I3" s="4" t="s">
        <v>150</v>
      </c>
      <c r="J3" s="246"/>
    </row>
    <row r="4" spans="1:10" ht="12.75">
      <c r="A4" s="244"/>
      <c r="B4" s="244"/>
      <c r="C4" s="244"/>
      <c r="D4" s="244"/>
      <c r="E4" s="244"/>
      <c r="F4" s="244"/>
      <c r="G4" s="244"/>
      <c r="H4" s="244"/>
      <c r="I4" s="244"/>
      <c r="J4" s="244"/>
    </row>
    <row r="5" spans="1:10" ht="17.25">
      <c r="A5" s="374" t="s">
        <v>426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7.25">
      <c r="A6" s="374" t="s">
        <v>427</v>
      </c>
      <c r="B6" s="374"/>
      <c r="C6" s="374"/>
      <c r="D6" s="374"/>
      <c r="E6" s="374"/>
      <c r="F6" s="374"/>
      <c r="G6" s="374"/>
      <c r="H6" s="374"/>
      <c r="I6" s="374"/>
      <c r="J6" s="374"/>
    </row>
    <row r="7" spans="1:10" ht="15" customHeight="1">
      <c r="A7" s="244"/>
      <c r="B7" s="244"/>
      <c r="C7" s="244"/>
      <c r="D7" s="244"/>
      <c r="E7" s="244"/>
      <c r="F7" s="375"/>
      <c r="G7" s="375"/>
      <c r="H7" s="375"/>
      <c r="I7" s="375"/>
      <c r="J7" s="376"/>
    </row>
    <row r="8" spans="1:10" ht="11.2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</row>
    <row r="9" spans="1:10" ht="12.75">
      <c r="A9" s="260" t="s">
        <v>428</v>
      </c>
      <c r="B9" s="260" t="s">
        <v>429</v>
      </c>
      <c r="C9" s="260" t="s">
        <v>12</v>
      </c>
      <c r="D9" s="278" t="s">
        <v>430</v>
      </c>
      <c r="E9" s="278" t="s">
        <v>431</v>
      </c>
      <c r="F9" s="278" t="s">
        <v>157</v>
      </c>
      <c r="G9" s="278"/>
      <c r="H9" s="278"/>
      <c r="I9" s="278"/>
      <c r="J9" s="278"/>
    </row>
    <row r="10" spans="1:10" ht="12.75">
      <c r="A10" s="260"/>
      <c r="B10" s="260"/>
      <c r="C10" s="260"/>
      <c r="D10" s="278"/>
      <c r="E10" s="278"/>
      <c r="F10" s="278" t="s">
        <v>432</v>
      </c>
      <c r="G10" s="278" t="s">
        <v>155</v>
      </c>
      <c r="H10" s="278"/>
      <c r="I10" s="278"/>
      <c r="J10" s="278" t="s">
        <v>433</v>
      </c>
    </row>
    <row r="11" spans="1:10" ht="30.75" customHeight="1">
      <c r="A11" s="260"/>
      <c r="B11" s="260"/>
      <c r="C11" s="260"/>
      <c r="D11" s="278"/>
      <c r="E11" s="278"/>
      <c r="F11" s="278"/>
      <c r="G11" s="278" t="s">
        <v>434</v>
      </c>
      <c r="H11" s="278" t="s">
        <v>435</v>
      </c>
      <c r="I11" s="278" t="s">
        <v>436</v>
      </c>
      <c r="J11" s="278"/>
    </row>
    <row r="12" spans="1:10" ht="12.75">
      <c r="A12" s="377">
        <v>1</v>
      </c>
      <c r="B12" s="377">
        <v>2</v>
      </c>
      <c r="C12" s="377">
        <v>3</v>
      </c>
      <c r="D12" s="377">
        <v>5</v>
      </c>
      <c r="E12" s="377">
        <v>6</v>
      </c>
      <c r="F12" s="377">
        <v>7</v>
      </c>
      <c r="G12" s="377">
        <v>8</v>
      </c>
      <c r="H12" s="377">
        <v>9</v>
      </c>
      <c r="I12" s="377">
        <v>10</v>
      </c>
      <c r="J12" s="377">
        <v>11</v>
      </c>
    </row>
    <row r="13" spans="1:10" ht="15">
      <c r="A13" s="378">
        <v>750</v>
      </c>
      <c r="B13" s="379"/>
      <c r="C13" s="379"/>
      <c r="D13" s="380">
        <f>SUM(D14)</f>
        <v>25192</v>
      </c>
      <c r="E13" s="380">
        <f>SUM(E14)</f>
        <v>25192</v>
      </c>
      <c r="F13" s="380">
        <f>SUM(F14)</f>
        <v>25192</v>
      </c>
      <c r="G13" s="380">
        <f>SUM(G14)</f>
        <v>20710</v>
      </c>
      <c r="H13" s="380">
        <f>SUM(H14)</f>
        <v>3682</v>
      </c>
      <c r="I13" s="380">
        <f>SUM(I14)</f>
        <v>800</v>
      </c>
      <c r="J13" s="380">
        <f>SUM(J14)</f>
        <v>0</v>
      </c>
    </row>
    <row r="14" spans="1:10" ht="13.5">
      <c r="A14" s="381"/>
      <c r="B14" s="382">
        <v>75011</v>
      </c>
      <c r="C14" s="383"/>
      <c r="D14" s="384">
        <f>SUM(D15)</f>
        <v>25192</v>
      </c>
      <c r="E14" s="384">
        <f>SUM(E15:E20)</f>
        <v>25192</v>
      </c>
      <c r="F14" s="384">
        <f>SUM(F15:F20)</f>
        <v>25192</v>
      </c>
      <c r="G14" s="384">
        <f>SUM(G15:G20)</f>
        <v>20710</v>
      </c>
      <c r="H14" s="384">
        <f>SUM(H15:H20)</f>
        <v>3682</v>
      </c>
      <c r="I14" s="384">
        <f>SUM(I15:I20)</f>
        <v>800</v>
      </c>
      <c r="J14" s="384">
        <f>SUM(J15:J20)</f>
        <v>0</v>
      </c>
    </row>
    <row r="15" spans="1:10" ht="12.75">
      <c r="A15" s="385"/>
      <c r="B15" s="386"/>
      <c r="C15" s="387">
        <v>2010</v>
      </c>
      <c r="D15" s="388">
        <f>1!F31</f>
        <v>25192</v>
      </c>
      <c r="E15" s="384"/>
      <c r="F15" s="384"/>
      <c r="G15" s="384"/>
      <c r="H15" s="384"/>
      <c r="I15" s="384"/>
      <c r="J15" s="384"/>
    </row>
    <row r="16" spans="1:10" ht="12.75">
      <c r="A16" s="257"/>
      <c r="B16" s="389"/>
      <c r="C16" s="390">
        <v>4010</v>
      </c>
      <c r="D16" s="391"/>
      <c r="E16" s="176">
        <f>2!F54</f>
        <v>18710</v>
      </c>
      <c r="F16" s="176">
        <f>E16</f>
        <v>18710</v>
      </c>
      <c r="G16" s="176">
        <f>F16</f>
        <v>18710</v>
      </c>
      <c r="H16" s="176"/>
      <c r="I16" s="176"/>
      <c r="J16" s="388"/>
    </row>
    <row r="17" spans="1:10" ht="12.75">
      <c r="A17" s="257"/>
      <c r="B17" s="389"/>
      <c r="C17" s="390">
        <v>4040</v>
      </c>
      <c r="D17" s="391"/>
      <c r="E17" s="176">
        <f>2!F55</f>
        <v>2000</v>
      </c>
      <c r="F17" s="176">
        <f>E17</f>
        <v>2000</v>
      </c>
      <c r="G17" s="176">
        <f>F17</f>
        <v>2000</v>
      </c>
      <c r="H17" s="176"/>
      <c r="I17" s="176"/>
      <c r="J17" s="388"/>
    </row>
    <row r="18" spans="1:10" ht="12.75">
      <c r="A18" s="257"/>
      <c r="B18" s="389"/>
      <c r="C18" s="390">
        <v>4110</v>
      </c>
      <c r="D18" s="388"/>
      <c r="E18" s="176">
        <f>2!F56</f>
        <v>3224</v>
      </c>
      <c r="F18" s="176">
        <f>E18</f>
        <v>3224</v>
      </c>
      <c r="G18" s="176"/>
      <c r="H18" s="176">
        <f>F18</f>
        <v>3224</v>
      </c>
      <c r="I18" s="176"/>
      <c r="J18" s="388"/>
    </row>
    <row r="19" spans="1:10" ht="12.75">
      <c r="A19" s="257"/>
      <c r="B19" s="389"/>
      <c r="C19" s="390">
        <v>4120</v>
      </c>
      <c r="D19" s="388"/>
      <c r="E19" s="176">
        <f>2!F57</f>
        <v>458</v>
      </c>
      <c r="F19" s="176">
        <f>E19</f>
        <v>458</v>
      </c>
      <c r="G19" s="176"/>
      <c r="H19" s="176">
        <f>F19</f>
        <v>458</v>
      </c>
      <c r="I19" s="176"/>
      <c r="J19" s="388"/>
    </row>
    <row r="20" spans="1:10" ht="12.75">
      <c r="A20" s="266"/>
      <c r="B20" s="389"/>
      <c r="C20" s="390">
        <v>4440</v>
      </c>
      <c r="D20" s="388"/>
      <c r="E20" s="176">
        <f>2!F59</f>
        <v>800</v>
      </c>
      <c r="F20" s="176">
        <f>E20</f>
        <v>800</v>
      </c>
      <c r="G20" s="176"/>
      <c r="H20" s="176"/>
      <c r="I20" s="176">
        <f>F20</f>
        <v>800</v>
      </c>
      <c r="J20" s="388"/>
    </row>
    <row r="21" spans="1:10" ht="15">
      <c r="A21" s="392">
        <v>751</v>
      </c>
      <c r="B21" s="393"/>
      <c r="C21" s="393"/>
      <c r="D21" s="394">
        <f>D22</f>
        <v>800</v>
      </c>
      <c r="E21" s="394">
        <f>E22</f>
        <v>800</v>
      </c>
      <c r="F21" s="394">
        <f>F22</f>
        <v>800</v>
      </c>
      <c r="G21" s="394">
        <f>G22</f>
        <v>0</v>
      </c>
      <c r="H21" s="394">
        <f>H22</f>
        <v>0</v>
      </c>
      <c r="I21" s="394">
        <f>I22</f>
        <v>0</v>
      </c>
      <c r="J21" s="394">
        <f>J22</f>
        <v>0</v>
      </c>
    </row>
    <row r="22" spans="1:10" ht="13.5">
      <c r="A22" s="395"/>
      <c r="B22" s="396">
        <v>75101</v>
      </c>
      <c r="C22" s="397"/>
      <c r="D22" s="398">
        <f>SUM(D23)</f>
        <v>800</v>
      </c>
      <c r="E22" s="398">
        <f>SUM(E23:E25)</f>
        <v>800</v>
      </c>
      <c r="F22" s="398">
        <f>SUM(F23:F25)</f>
        <v>800</v>
      </c>
      <c r="G22" s="398">
        <f>SUM(G23:G25)</f>
        <v>0</v>
      </c>
      <c r="H22" s="398">
        <f>SUM(H23:H25)</f>
        <v>0</v>
      </c>
      <c r="I22" s="398">
        <f>SUM(I23:I25)</f>
        <v>0</v>
      </c>
      <c r="J22" s="398">
        <f>SUM(J23:J25)</f>
        <v>0</v>
      </c>
    </row>
    <row r="23" spans="1:10" ht="13.5">
      <c r="A23" s="399"/>
      <c r="B23" s="399"/>
      <c r="C23" s="387">
        <v>2010</v>
      </c>
      <c r="D23" s="400">
        <f>1!F34</f>
        <v>800</v>
      </c>
      <c r="E23" s="400"/>
      <c r="F23" s="400"/>
      <c r="G23" s="400"/>
      <c r="H23" s="400"/>
      <c r="I23" s="400"/>
      <c r="J23" s="401"/>
    </row>
    <row r="24" spans="1:10" ht="13.5">
      <c r="A24" s="399"/>
      <c r="B24" s="399"/>
      <c r="C24" s="387">
        <v>4170</v>
      </c>
      <c r="D24" s="400"/>
      <c r="E24" s="400">
        <f>2!F88</f>
        <v>400</v>
      </c>
      <c r="F24" s="400">
        <f>E24</f>
        <v>400</v>
      </c>
      <c r="G24" s="400"/>
      <c r="H24" s="400"/>
      <c r="I24" s="400"/>
      <c r="J24" s="401"/>
    </row>
    <row r="25" spans="1:10" ht="13.5">
      <c r="A25" s="399"/>
      <c r="B25" s="402"/>
      <c r="C25" s="390">
        <v>4210</v>
      </c>
      <c r="D25" s="400"/>
      <c r="E25" s="400">
        <f>2!F89</f>
        <v>400</v>
      </c>
      <c r="F25" s="400">
        <f>E25</f>
        <v>400</v>
      </c>
      <c r="G25" s="400"/>
      <c r="H25" s="400"/>
      <c r="I25" s="400"/>
      <c r="J25" s="401"/>
    </row>
    <row r="26" spans="1:10" ht="15">
      <c r="A26" s="403">
        <v>754</v>
      </c>
      <c r="B26" s="404"/>
      <c r="C26" s="404"/>
      <c r="D26" s="405">
        <f>SUM(D27)</f>
        <v>500</v>
      </c>
      <c r="E26" s="405">
        <f>SUM(E27)</f>
        <v>500</v>
      </c>
      <c r="F26" s="405">
        <f>SUM(F27)</f>
        <v>500</v>
      </c>
      <c r="G26" s="405">
        <f>SUM(G27)</f>
        <v>0</v>
      </c>
      <c r="H26" s="405">
        <f>SUM(H27)</f>
        <v>0</v>
      </c>
      <c r="I26" s="405">
        <f>SUM(I27)</f>
        <v>0</v>
      </c>
      <c r="J26" s="405">
        <f>SUM(J27)</f>
        <v>0</v>
      </c>
    </row>
    <row r="27" spans="1:10" ht="15">
      <c r="A27" s="406"/>
      <c r="B27" s="407">
        <v>75412</v>
      </c>
      <c r="C27" s="408"/>
      <c r="D27" s="409">
        <f>SUM(D28)</f>
        <v>500</v>
      </c>
      <c r="E27" s="409">
        <f>SUM(E29:E29)</f>
        <v>500</v>
      </c>
      <c r="F27" s="409">
        <f>SUM(F29:F29)</f>
        <v>500</v>
      </c>
      <c r="G27" s="409">
        <f>SUM(G29:G29)</f>
        <v>0</v>
      </c>
      <c r="H27" s="409">
        <f>SUM(H29:H29)</f>
        <v>0</v>
      </c>
      <c r="I27" s="409">
        <f>SUM(I29:I29)</f>
        <v>0</v>
      </c>
      <c r="J27" s="409">
        <f>SUM(J29:J29)</f>
        <v>0</v>
      </c>
    </row>
    <row r="28" spans="1:10" ht="15">
      <c r="A28" s="406"/>
      <c r="B28" s="410"/>
      <c r="C28" s="411" t="s">
        <v>24</v>
      </c>
      <c r="D28" s="388">
        <f>1!F41</f>
        <v>500</v>
      </c>
      <c r="E28" s="412"/>
      <c r="F28" s="412"/>
      <c r="G28" s="412"/>
      <c r="H28" s="412"/>
      <c r="I28" s="412"/>
      <c r="J28" s="388"/>
    </row>
    <row r="29" spans="1:10" ht="15">
      <c r="A29" s="413"/>
      <c r="B29" s="414"/>
      <c r="C29" s="390">
        <v>4210</v>
      </c>
      <c r="D29" s="388"/>
      <c r="E29" s="412">
        <f>D28</f>
        <v>500</v>
      </c>
      <c r="F29" s="412">
        <f>E29</f>
        <v>500</v>
      </c>
      <c r="G29" s="412"/>
      <c r="H29" s="412"/>
      <c r="I29" s="412"/>
      <c r="J29" s="388"/>
    </row>
    <row r="30" spans="1:10" ht="15">
      <c r="A30" s="378">
        <v>852</v>
      </c>
      <c r="B30" s="415"/>
      <c r="C30" s="415"/>
      <c r="D30" s="380">
        <f>SUM(D46,D49,D31)</f>
        <v>1058000</v>
      </c>
      <c r="E30" s="380">
        <f>SUM(E46,E49,E31)</f>
        <v>1058000</v>
      </c>
      <c r="F30" s="380">
        <f>SUM(F46,F49,F31)</f>
        <v>1058000</v>
      </c>
      <c r="G30" s="380">
        <f>SUM(G46,G49,G31)</f>
        <v>23550</v>
      </c>
      <c r="H30" s="380">
        <f>SUM(H46,H49,H31)</f>
        <v>4650</v>
      </c>
      <c r="I30" s="380">
        <f>SUM(I46,I49,I31)</f>
        <v>1028150</v>
      </c>
      <c r="J30" s="380">
        <f>SUM(J46,J49,J31)</f>
        <v>0</v>
      </c>
    </row>
    <row r="31" spans="1:10" ht="15">
      <c r="A31" s="416"/>
      <c r="B31" s="417">
        <v>85212</v>
      </c>
      <c r="C31" s="418"/>
      <c r="D31" s="398">
        <f>SUM(D32)</f>
        <v>995000</v>
      </c>
      <c r="E31" s="398">
        <f>SUM(E33:E45)</f>
        <v>995000</v>
      </c>
      <c r="F31" s="398">
        <f>SUM(F33:F45)</f>
        <v>995000</v>
      </c>
      <c r="G31" s="398">
        <f>SUM(G33:G45)</f>
        <v>23550</v>
      </c>
      <c r="H31" s="398">
        <f>SUM(H33:H45)</f>
        <v>4650</v>
      </c>
      <c r="I31" s="398">
        <f>SUM(I33:I45)</f>
        <v>965150</v>
      </c>
      <c r="J31" s="398">
        <f>SUM(J33:J45)</f>
        <v>0</v>
      </c>
    </row>
    <row r="32" spans="1:10" ht="15">
      <c r="A32" s="416"/>
      <c r="B32" s="395"/>
      <c r="C32" s="387">
        <v>2010</v>
      </c>
      <c r="D32" s="400">
        <f>1!F91</f>
        <v>995000</v>
      </c>
      <c r="E32" s="401"/>
      <c r="F32" s="401"/>
      <c r="G32" s="401"/>
      <c r="H32" s="401"/>
      <c r="I32" s="401"/>
      <c r="J32" s="419"/>
    </row>
    <row r="33" spans="1:10" ht="15">
      <c r="A33" s="416"/>
      <c r="B33" s="395"/>
      <c r="C33" s="260">
        <v>3020</v>
      </c>
      <c r="D33" s="388"/>
      <c r="E33" s="133">
        <f>2!F203</f>
        <v>200</v>
      </c>
      <c r="F33" s="133">
        <f>E33</f>
        <v>200</v>
      </c>
      <c r="G33" s="133"/>
      <c r="H33" s="133"/>
      <c r="I33" s="133"/>
      <c r="J33" s="133"/>
    </row>
    <row r="34" spans="1:10" ht="15">
      <c r="A34" s="416"/>
      <c r="B34" s="395"/>
      <c r="C34" s="387">
        <v>3040</v>
      </c>
      <c r="D34" s="388"/>
      <c r="E34" s="133">
        <f>2!F204-142</f>
        <v>458</v>
      </c>
      <c r="F34" s="133">
        <f>E34</f>
        <v>458</v>
      </c>
      <c r="G34" s="133"/>
      <c r="H34" s="133"/>
      <c r="I34" s="133"/>
      <c r="J34" s="133"/>
    </row>
    <row r="35" spans="1:10" ht="15">
      <c r="A35" s="416"/>
      <c r="B35" s="395"/>
      <c r="C35" s="390">
        <v>3110</v>
      </c>
      <c r="D35" s="400"/>
      <c r="E35" s="133">
        <f>2!F205</f>
        <v>955150</v>
      </c>
      <c r="F35" s="133">
        <f>E35</f>
        <v>955150</v>
      </c>
      <c r="G35" s="133"/>
      <c r="H35" s="133"/>
      <c r="I35" s="133">
        <f>F35</f>
        <v>955150</v>
      </c>
      <c r="J35" s="388"/>
    </row>
    <row r="36" spans="1:10" ht="15">
      <c r="A36" s="416"/>
      <c r="B36" s="395"/>
      <c r="C36" s="390">
        <v>4010</v>
      </c>
      <c r="D36" s="400"/>
      <c r="E36" s="133">
        <f>2!F206</f>
        <v>22000</v>
      </c>
      <c r="F36" s="133">
        <f>E36</f>
        <v>22000</v>
      </c>
      <c r="G36" s="133">
        <f>F36</f>
        <v>22000</v>
      </c>
      <c r="H36" s="133"/>
      <c r="I36" s="133"/>
      <c r="J36" s="133"/>
    </row>
    <row r="37" spans="1:10" ht="15">
      <c r="A37" s="416"/>
      <c r="B37" s="395"/>
      <c r="C37" s="390">
        <v>4040</v>
      </c>
      <c r="D37" s="400"/>
      <c r="E37" s="133">
        <f>2!F207</f>
        <v>1550</v>
      </c>
      <c r="F37" s="133">
        <f>E37</f>
        <v>1550</v>
      </c>
      <c r="G37" s="133">
        <f>F37</f>
        <v>1550</v>
      </c>
      <c r="H37" s="133"/>
      <c r="I37" s="133"/>
      <c r="J37" s="133"/>
    </row>
    <row r="38" spans="1:10" ht="15">
      <c r="A38" s="416"/>
      <c r="B38" s="395"/>
      <c r="C38" s="390">
        <v>4110</v>
      </c>
      <c r="D38" s="400"/>
      <c r="E38" s="133">
        <f>2!F208</f>
        <v>14000</v>
      </c>
      <c r="F38" s="133">
        <f>E38</f>
        <v>14000</v>
      </c>
      <c r="G38" s="133"/>
      <c r="H38" s="133">
        <f>F38-I38</f>
        <v>4000</v>
      </c>
      <c r="I38" s="133">
        <v>10000</v>
      </c>
      <c r="J38" s="388"/>
    </row>
    <row r="39" spans="1:10" ht="15">
      <c r="A39" s="416"/>
      <c r="B39" s="395"/>
      <c r="C39" s="390">
        <v>4120</v>
      </c>
      <c r="D39" s="400"/>
      <c r="E39" s="133">
        <f>2!F209</f>
        <v>650</v>
      </c>
      <c r="F39" s="133">
        <f>E39</f>
        <v>650</v>
      </c>
      <c r="G39" s="133"/>
      <c r="H39" s="133">
        <f>F39</f>
        <v>650</v>
      </c>
      <c r="I39" s="133"/>
      <c r="J39" s="133"/>
    </row>
    <row r="40" spans="1:10" ht="15">
      <c r="A40" s="416"/>
      <c r="B40" s="395"/>
      <c r="C40" s="390">
        <v>4210</v>
      </c>
      <c r="D40" s="400"/>
      <c r="E40" s="133"/>
      <c r="F40" s="133">
        <f>E40</f>
        <v>0</v>
      </c>
      <c r="G40" s="133"/>
      <c r="H40" s="133"/>
      <c r="I40" s="133"/>
      <c r="J40" s="133"/>
    </row>
    <row r="41" spans="1:10" ht="15">
      <c r="A41" s="416"/>
      <c r="B41" s="395"/>
      <c r="C41" s="390">
        <v>4300</v>
      </c>
      <c r="D41" s="400"/>
      <c r="E41" s="133"/>
      <c r="F41" s="133">
        <f>E41</f>
        <v>0</v>
      </c>
      <c r="G41" s="133"/>
      <c r="H41" s="133"/>
      <c r="I41" s="133"/>
      <c r="J41" s="133"/>
    </row>
    <row r="42" spans="1:10" ht="15">
      <c r="A42" s="416"/>
      <c r="B42" s="395"/>
      <c r="C42" s="390">
        <v>4410</v>
      </c>
      <c r="D42" s="400"/>
      <c r="E42" s="133"/>
      <c r="F42" s="133">
        <f>E42</f>
        <v>0</v>
      </c>
      <c r="G42" s="133"/>
      <c r="H42" s="133"/>
      <c r="I42" s="133"/>
      <c r="J42" s="133"/>
    </row>
    <row r="43" spans="1:10" ht="15">
      <c r="A43" s="416"/>
      <c r="B43" s="257"/>
      <c r="C43" s="420">
        <v>4440</v>
      </c>
      <c r="D43" s="388"/>
      <c r="E43" s="133">
        <f>2!F213</f>
        <v>992</v>
      </c>
      <c r="F43" s="133">
        <f>E43</f>
        <v>992</v>
      </c>
      <c r="G43" s="133"/>
      <c r="H43" s="133"/>
      <c r="I43" s="133"/>
      <c r="J43" s="388"/>
    </row>
    <row r="44" spans="1:10" ht="15">
      <c r="A44" s="416"/>
      <c r="B44" s="257"/>
      <c r="C44" s="420">
        <v>4700</v>
      </c>
      <c r="D44" s="388"/>
      <c r="E44" s="133"/>
      <c r="F44" s="133">
        <f>E44</f>
        <v>0</v>
      </c>
      <c r="G44" s="133"/>
      <c r="H44" s="133"/>
      <c r="I44" s="133"/>
      <c r="J44" s="388"/>
    </row>
    <row r="45" spans="1:10" ht="15">
      <c r="A45" s="416"/>
      <c r="B45" s="257"/>
      <c r="C45" s="420">
        <v>4750</v>
      </c>
      <c r="D45" s="388"/>
      <c r="E45" s="133"/>
      <c r="F45" s="133">
        <f>E45</f>
        <v>0</v>
      </c>
      <c r="G45" s="133"/>
      <c r="H45" s="133"/>
      <c r="I45" s="133"/>
      <c r="J45" s="388"/>
    </row>
    <row r="46" spans="1:10" ht="13.5">
      <c r="A46" s="395"/>
      <c r="B46" s="417">
        <v>85213</v>
      </c>
      <c r="C46" s="421"/>
      <c r="D46" s="398">
        <f>SUM(D47)</f>
        <v>6000</v>
      </c>
      <c r="E46" s="398">
        <f>SUM(E48)</f>
        <v>6000</v>
      </c>
      <c r="F46" s="398">
        <f>SUM(F48)</f>
        <v>6000</v>
      </c>
      <c r="G46" s="398">
        <f>SUM(G48)</f>
        <v>0</v>
      </c>
      <c r="H46" s="398">
        <f>SUM(H48)</f>
        <v>0</v>
      </c>
      <c r="I46" s="398">
        <f>SUM(I48)</f>
        <v>6000</v>
      </c>
      <c r="J46" s="398">
        <f>SUM(J48)</f>
        <v>0</v>
      </c>
    </row>
    <row r="47" spans="1:10" ht="13.5">
      <c r="A47" s="395"/>
      <c r="B47" s="395"/>
      <c r="C47" s="387">
        <v>2010</v>
      </c>
      <c r="D47" s="400">
        <f>1!F93</f>
        <v>6000</v>
      </c>
      <c r="E47" s="419"/>
      <c r="F47" s="419"/>
      <c r="G47" s="419"/>
      <c r="H47" s="419"/>
      <c r="I47" s="419"/>
      <c r="J47" s="419"/>
    </row>
    <row r="48" spans="1:10" ht="15">
      <c r="A48" s="257"/>
      <c r="B48" s="257"/>
      <c r="C48" s="390">
        <v>4130</v>
      </c>
      <c r="D48" s="388"/>
      <c r="E48" s="388">
        <f>D47</f>
        <v>6000</v>
      </c>
      <c r="F48" s="388">
        <f>E48</f>
        <v>6000</v>
      </c>
      <c r="G48" s="388"/>
      <c r="H48" s="388"/>
      <c r="I48" s="388">
        <f>E48</f>
        <v>6000</v>
      </c>
      <c r="J48" s="380"/>
    </row>
    <row r="49" spans="1:10" ht="13.5">
      <c r="A49" s="381"/>
      <c r="B49" s="417">
        <v>85214</v>
      </c>
      <c r="C49" s="422"/>
      <c r="D49" s="398">
        <f>SUM(D50)</f>
        <v>57000</v>
      </c>
      <c r="E49" s="398">
        <f>SUM(E51:E51)</f>
        <v>57000</v>
      </c>
      <c r="F49" s="398">
        <f>SUM(F51:F51)</f>
        <v>57000</v>
      </c>
      <c r="G49" s="398">
        <f>SUM(G51:G51)</f>
        <v>0</v>
      </c>
      <c r="H49" s="398">
        <f>SUM(H51:H51)</f>
        <v>0</v>
      </c>
      <c r="I49" s="398">
        <f>SUM(I51:I51)</f>
        <v>57000</v>
      </c>
      <c r="J49" s="398">
        <f>SUM(J51:J51)</f>
        <v>0</v>
      </c>
    </row>
    <row r="50" spans="1:10" ht="13.5">
      <c r="A50" s="381"/>
      <c r="B50" s="395"/>
      <c r="C50" s="387">
        <v>2010</v>
      </c>
      <c r="D50" s="400">
        <f>1!F95</f>
        <v>57000</v>
      </c>
      <c r="E50" s="419"/>
      <c r="F50" s="419"/>
      <c r="G50" s="419"/>
      <c r="H50" s="419"/>
      <c r="I50" s="419"/>
      <c r="J50" s="419"/>
    </row>
    <row r="51" spans="1:10" ht="12.75">
      <c r="A51" s="257"/>
      <c r="B51" s="257"/>
      <c r="C51" s="390">
        <v>3110</v>
      </c>
      <c r="D51" s="388"/>
      <c r="E51" s="388">
        <f>D50</f>
        <v>57000</v>
      </c>
      <c r="F51" s="388">
        <f>E51</f>
        <v>57000</v>
      </c>
      <c r="G51" s="388"/>
      <c r="H51" s="388"/>
      <c r="I51" s="388">
        <f>E51</f>
        <v>57000</v>
      </c>
      <c r="J51" s="388"/>
    </row>
    <row r="52" spans="1:10" ht="17.25">
      <c r="A52" s="423" t="s">
        <v>437</v>
      </c>
      <c r="B52" s="423"/>
      <c r="C52" s="423"/>
      <c r="D52" s="424">
        <f>D13+D21+D30+D26</f>
        <v>1084492</v>
      </c>
      <c r="E52" s="424">
        <f>E13+E21+E30+E26</f>
        <v>1084492</v>
      </c>
      <c r="F52" s="424">
        <f>F13+F21+F30+F26</f>
        <v>1084492</v>
      </c>
      <c r="G52" s="424">
        <f>G13+G21+G30+G26</f>
        <v>44260</v>
      </c>
      <c r="H52" s="424">
        <f>H13+H21+H30+H26</f>
        <v>8332</v>
      </c>
      <c r="I52" s="424">
        <f>I13+I21+I30+I26</f>
        <v>1028950</v>
      </c>
      <c r="J52" s="424">
        <f>J13+J21+J30+J26</f>
        <v>0</v>
      </c>
    </row>
    <row r="54" spans="4:9" ht="15">
      <c r="D54" s="319"/>
      <c r="E54" s="319"/>
      <c r="F54" s="319"/>
      <c r="G54" s="319"/>
      <c r="H54" s="319"/>
      <c r="I54" s="319"/>
    </row>
    <row r="55" spans="3:10" ht="15">
      <c r="C55" s="288"/>
      <c r="D55" s="319"/>
      <c r="E55" s="319"/>
      <c r="F55" s="319"/>
      <c r="G55" s="319"/>
      <c r="H55" s="319"/>
      <c r="I55" s="319"/>
      <c r="J55" s="319"/>
    </row>
    <row r="56" spans="3:10" ht="12.75">
      <c r="C56" s="288"/>
      <c r="D56" s="102"/>
      <c r="E56" s="102"/>
      <c r="F56" s="102"/>
      <c r="G56" s="102"/>
      <c r="H56" s="102"/>
      <c r="I56" s="102"/>
      <c r="J56" s="102"/>
    </row>
    <row r="57" spans="4:10" ht="12.75">
      <c r="D57" s="102"/>
      <c r="E57" s="102"/>
      <c r="F57" s="102"/>
      <c r="G57" s="102"/>
      <c r="H57" s="102"/>
      <c r="I57" s="102"/>
      <c r="J57" s="102"/>
    </row>
    <row r="58" spans="4:10" ht="13.5">
      <c r="D58" s="323"/>
      <c r="E58" s="323"/>
      <c r="F58" s="323"/>
      <c r="G58" s="323"/>
      <c r="H58" s="323"/>
      <c r="I58" s="323"/>
      <c r="J58" s="323"/>
    </row>
  </sheetData>
  <mergeCells count="12">
    <mergeCell ref="A5:J5"/>
    <mergeCell ref="A6:J6"/>
    <mergeCell ref="A9:A11"/>
    <mergeCell ref="B9:B11"/>
    <mergeCell ref="C9:C11"/>
    <mergeCell ref="D9:D11"/>
    <mergeCell ref="E9:E11"/>
    <mergeCell ref="F9:J9"/>
    <mergeCell ref="F10:F11"/>
    <mergeCell ref="G10:I10"/>
    <mergeCell ref="J10:J11"/>
    <mergeCell ref="A52:C52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9"/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55" workbookViewId="0" topLeftCell="A1">
      <selection activeCell="E28" sqref="E28"/>
    </sheetView>
  </sheetViews>
  <sheetFormatPr defaultColWidth="9.00390625" defaultRowHeight="12.75"/>
  <cols>
    <col min="1" max="1" width="7.75390625" style="2" customWidth="1"/>
    <col min="2" max="2" width="8.75390625" style="2" customWidth="1"/>
    <col min="3" max="3" width="7.75390625" style="2" customWidth="1"/>
    <col min="4" max="4" width="17.75390625" style="2" customWidth="1"/>
    <col min="5" max="5" width="22.125" style="2" customWidth="1"/>
    <col min="6" max="6" width="10.75390625" style="2" customWidth="1"/>
    <col min="7" max="7" width="14.50390625" style="2" customWidth="1"/>
    <col min="8" max="8" width="15.25390625" style="2" customWidth="1"/>
    <col min="9" max="9" width="13.25390625" style="2" customWidth="1"/>
    <col min="10" max="10" width="11.25390625" style="2" customWidth="1"/>
    <col min="11" max="255" width="9.00390625" style="2" customWidth="1"/>
  </cols>
  <sheetData>
    <row r="1" spans="3:9" ht="12.75">
      <c r="C1" s="290"/>
      <c r="D1"/>
      <c r="E1"/>
      <c r="F1" s="290"/>
      <c r="I1" s="3" t="s">
        <v>438</v>
      </c>
    </row>
    <row r="2" spans="3:9" ht="12.75">
      <c r="C2" s="289"/>
      <c r="D2"/>
      <c r="E2"/>
      <c r="I2" s="3" t="s">
        <v>1</v>
      </c>
    </row>
    <row r="3" spans="3:9" ht="12.75">
      <c r="C3" s="289"/>
      <c r="D3"/>
      <c r="E3" s="3"/>
      <c r="I3" s="3" t="s">
        <v>439</v>
      </c>
    </row>
    <row r="4" spans="4:5" ht="12.75">
      <c r="D4"/>
      <c r="E4" s="3"/>
    </row>
    <row r="5" spans="1:10" ht="17.25">
      <c r="A5" s="374" t="s">
        <v>440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7.25">
      <c r="A6" s="374" t="s">
        <v>441</v>
      </c>
      <c r="B6" s="374"/>
      <c r="C6" s="374"/>
      <c r="D6" s="374"/>
      <c r="E6" s="374"/>
      <c r="F6" s="374"/>
      <c r="G6" s="374"/>
      <c r="H6" s="374"/>
      <c r="I6" s="374"/>
      <c r="J6" s="374"/>
    </row>
    <row r="7" spans="1:10" ht="17.25">
      <c r="A7" s="374"/>
      <c r="B7" s="374"/>
      <c r="C7" s="374"/>
      <c r="D7" s="374"/>
      <c r="E7" s="374"/>
      <c r="J7" s="425" t="s">
        <v>442</v>
      </c>
    </row>
    <row r="9" spans="1:10" ht="11.25" customHeight="1">
      <c r="A9" s="7" t="s">
        <v>428</v>
      </c>
      <c r="B9" s="7" t="s">
        <v>429</v>
      </c>
      <c r="C9" s="7" t="s">
        <v>12</v>
      </c>
      <c r="D9" s="8" t="s">
        <v>430</v>
      </c>
      <c r="E9" s="8" t="s">
        <v>431</v>
      </c>
      <c r="F9" s="8" t="s">
        <v>157</v>
      </c>
      <c r="G9" s="8"/>
      <c r="H9" s="8"/>
      <c r="I9" s="8"/>
      <c r="J9" s="8"/>
    </row>
    <row r="10" spans="1:10" ht="12.75">
      <c r="A10" s="7"/>
      <c r="B10" s="7"/>
      <c r="C10" s="7"/>
      <c r="D10" s="8"/>
      <c r="E10" s="8"/>
      <c r="F10" s="8" t="s">
        <v>432</v>
      </c>
      <c r="G10" s="8" t="s">
        <v>155</v>
      </c>
      <c r="H10" s="8"/>
      <c r="I10" s="8"/>
      <c r="J10" s="8" t="s">
        <v>433</v>
      </c>
    </row>
    <row r="11" spans="1:10" ht="24.75">
      <c r="A11" s="7"/>
      <c r="B11" s="7"/>
      <c r="C11" s="7"/>
      <c r="D11" s="8"/>
      <c r="E11" s="8"/>
      <c r="F11" s="8"/>
      <c r="G11" s="8" t="s">
        <v>434</v>
      </c>
      <c r="H11" s="8" t="s">
        <v>435</v>
      </c>
      <c r="I11" s="8" t="s">
        <v>443</v>
      </c>
      <c r="J11" s="8"/>
    </row>
    <row r="12" spans="1:10" ht="12.75">
      <c r="A12" s="426">
        <v>1</v>
      </c>
      <c r="B12" s="426">
        <v>2</v>
      </c>
      <c r="C12" s="426">
        <v>3</v>
      </c>
      <c r="D12" s="426">
        <v>4</v>
      </c>
      <c r="E12" s="426">
        <v>5</v>
      </c>
      <c r="F12" s="426">
        <v>6</v>
      </c>
      <c r="G12" s="426">
        <v>7</v>
      </c>
      <c r="H12" s="426">
        <v>8</v>
      </c>
      <c r="I12" s="426">
        <v>9</v>
      </c>
      <c r="J12" s="426">
        <v>10</v>
      </c>
    </row>
    <row r="13" spans="1:10" ht="15.75" customHeight="1">
      <c r="A13" s="378">
        <v>630</v>
      </c>
      <c r="B13" s="427"/>
      <c r="C13" s="427"/>
      <c r="D13" s="428">
        <f>SUM(D14)</f>
        <v>0</v>
      </c>
      <c r="E13" s="428">
        <f>SUM(E14)</f>
        <v>4500</v>
      </c>
      <c r="F13" s="428">
        <f>SUM(F14)</f>
        <v>4500</v>
      </c>
      <c r="G13" s="428">
        <f>SUM(G14)</f>
        <v>0</v>
      </c>
      <c r="H13" s="428">
        <f>SUM(H14)</f>
        <v>0</v>
      </c>
      <c r="I13" s="428">
        <f>SUM(I14)</f>
        <v>4500</v>
      </c>
      <c r="J13" s="428">
        <f>SUM(J14)</f>
        <v>0</v>
      </c>
    </row>
    <row r="14" spans="1:10" ht="13.5">
      <c r="A14" s="429"/>
      <c r="B14" s="430" t="s">
        <v>181</v>
      </c>
      <c r="C14" s="431"/>
      <c r="D14" s="432">
        <f>SUM(D15)</f>
        <v>0</v>
      </c>
      <c r="E14" s="432">
        <f>SUM(E15:E15)</f>
        <v>4500</v>
      </c>
      <c r="F14" s="432">
        <f>SUM(F15:F15)</f>
        <v>4500</v>
      </c>
      <c r="G14" s="432">
        <f>SUM(G15:G15)</f>
        <v>0</v>
      </c>
      <c r="H14" s="432">
        <f>SUM(H15:H15)</f>
        <v>0</v>
      </c>
      <c r="I14" s="432">
        <f>SUM(I15:I15)</f>
        <v>4500</v>
      </c>
      <c r="J14" s="432">
        <f>SUM(J15:J15)</f>
        <v>0</v>
      </c>
    </row>
    <row r="15" spans="1:10" ht="12.75">
      <c r="A15" s="433"/>
      <c r="B15" s="385"/>
      <c r="C15" s="434">
        <v>2320</v>
      </c>
      <c r="D15" s="435"/>
      <c r="E15" s="435">
        <v>4500</v>
      </c>
      <c r="F15" s="436">
        <f>E15</f>
        <v>4500</v>
      </c>
      <c r="G15" s="436"/>
      <c r="H15" s="436"/>
      <c r="I15" s="436">
        <f>F15</f>
        <v>4500</v>
      </c>
      <c r="J15" s="436"/>
    </row>
    <row r="16" spans="1:10" ht="23.25" customHeight="1">
      <c r="A16" s="423" t="s">
        <v>437</v>
      </c>
      <c r="B16" s="423"/>
      <c r="C16" s="423"/>
      <c r="D16" s="437">
        <f>SUM(D13)</f>
        <v>0</v>
      </c>
      <c r="E16" s="437">
        <f>SUM(E13)</f>
        <v>4500</v>
      </c>
      <c r="F16" s="437">
        <f>SUM(F13)</f>
        <v>4500</v>
      </c>
      <c r="G16" s="437">
        <f>SUM(G13)</f>
        <v>0</v>
      </c>
      <c r="H16" s="437">
        <f>SUM(H13)</f>
        <v>0</v>
      </c>
      <c r="I16" s="437">
        <f>SUM(I13)</f>
        <v>4500</v>
      </c>
      <c r="J16" s="437">
        <f>SUM(J13)</f>
        <v>0</v>
      </c>
    </row>
    <row r="20" spans="4:5" ht="15">
      <c r="D20" s="319"/>
      <c r="E20" s="319"/>
    </row>
    <row r="21" spans="4:5" ht="12.75">
      <c r="D21" s="288"/>
      <c r="E21" s="288"/>
    </row>
    <row r="22" spans="4:5" ht="12.75">
      <c r="D22" s="288"/>
      <c r="E22" s="288"/>
    </row>
    <row r="23" spans="4:5" ht="15">
      <c r="D23" s="438"/>
      <c r="E23" s="438"/>
    </row>
  </sheetData>
  <mergeCells count="12">
    <mergeCell ref="A5:J5"/>
    <mergeCell ref="A6:J6"/>
    <mergeCell ref="A9:A11"/>
    <mergeCell ref="B9:B11"/>
    <mergeCell ref="C9:C11"/>
    <mergeCell ref="D9:D11"/>
    <mergeCell ref="E9:E11"/>
    <mergeCell ref="F9:J9"/>
    <mergeCell ref="F10:F11"/>
    <mergeCell ref="G10:I10"/>
    <mergeCell ref="J10:J11"/>
    <mergeCell ref="A16:C16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2007-11-13T16:53:01Z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